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Motor Fuel Activity Reports\7a Motor Fuel Activity\"/>
    </mc:Choice>
  </mc:AlternateContent>
  <xr:revisionPtr revIDLastSave="0" documentId="13_ncr:1_{F6333749-15C3-414E-BC5C-C7047E4990B7}" xr6:coauthVersionLast="47" xr6:coauthVersionMax="47" xr10:uidLastSave="{00000000-0000-0000-0000-000000000000}"/>
  <bookViews>
    <workbookView xWindow="-96" yWindow="0" windowWidth="11712" windowHeight="12336" xr2:uid="{EDFEA21E-E4BE-4E9A-99BD-E5877C84B3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8" i="1" l="1"/>
  <c r="P37" i="1"/>
  <c r="P36" i="1"/>
  <c r="P35" i="1"/>
  <c r="P34" i="1"/>
  <c r="P33" i="1"/>
  <c r="P32" i="1"/>
  <c r="P31" i="1"/>
  <c r="P30" i="1"/>
  <c r="P29" i="1"/>
  <c r="P28" i="1"/>
  <c r="P27" i="1"/>
  <c r="J58" i="1" l="1"/>
  <c r="J57" i="1"/>
  <c r="J56" i="1"/>
  <c r="J55" i="1"/>
  <c r="J54" i="1"/>
  <c r="J53" i="1"/>
  <c r="J52" i="1"/>
  <c r="J51" i="1"/>
  <c r="J50" i="1"/>
  <c r="J49" i="1"/>
  <c r="J48" i="1"/>
  <c r="J47" i="1"/>
  <c r="W18" i="1"/>
  <c r="W17" i="1"/>
  <c r="W16" i="1"/>
  <c r="W15" i="1"/>
  <c r="W14" i="1"/>
  <c r="W13" i="1"/>
  <c r="W12" i="1"/>
  <c r="W11" i="1"/>
  <c r="W10" i="1"/>
  <c r="W9" i="1"/>
  <c r="W8" i="1"/>
  <c r="W7" i="1"/>
  <c r="S18" i="1"/>
  <c r="S17" i="1"/>
  <c r="S16" i="1"/>
  <c r="S15" i="1"/>
  <c r="S14" i="1"/>
  <c r="S13" i="1"/>
  <c r="S12" i="1"/>
  <c r="S11" i="1"/>
  <c r="S10" i="1"/>
  <c r="S9" i="1"/>
  <c r="S8" i="1"/>
  <c r="S7" i="1"/>
  <c r="O18" i="1"/>
  <c r="O17" i="1"/>
  <c r="O16" i="1"/>
  <c r="O15" i="1"/>
  <c r="O14" i="1"/>
  <c r="O13" i="1"/>
  <c r="O12" i="1"/>
  <c r="O11" i="1"/>
  <c r="O10" i="1"/>
  <c r="O9" i="1"/>
  <c r="O8" i="1"/>
  <c r="O7" i="1"/>
  <c r="K83" i="1" l="1"/>
  <c r="J83" i="1"/>
  <c r="G83" i="1"/>
  <c r="F83" i="1"/>
  <c r="C83" i="1"/>
  <c r="B83" i="1"/>
  <c r="X37" i="1"/>
  <c r="G61" i="1"/>
  <c r="F61" i="1"/>
  <c r="C61" i="1"/>
  <c r="B61" i="1"/>
  <c r="P41" i="1"/>
  <c r="L41" i="1"/>
  <c r="K41" i="1"/>
  <c r="J41" i="1"/>
  <c r="G41" i="1"/>
  <c r="F41" i="1"/>
  <c r="C41" i="1"/>
  <c r="B41" i="1"/>
  <c r="K21" i="1"/>
  <c r="J21" i="1"/>
  <c r="G21" i="1"/>
  <c r="F21" i="1"/>
  <c r="C21" i="1"/>
  <c r="D21" i="1" s="1"/>
  <c r="B21" i="1"/>
  <c r="N41" i="1"/>
  <c r="X32" i="1"/>
  <c r="B23" i="1"/>
  <c r="B22" i="1" s="1"/>
  <c r="C23" i="1"/>
  <c r="X31" i="1"/>
  <c r="K85" i="1" l="1"/>
  <c r="L83" i="1"/>
  <c r="H61" i="1"/>
  <c r="C43" i="1"/>
  <c r="C42" i="1" s="1"/>
  <c r="D41" i="1"/>
  <c r="X30" i="1"/>
  <c r="C22" i="1"/>
  <c r="F84" i="1"/>
  <c r="B63" i="1"/>
  <c r="C63" i="1"/>
  <c r="X29" i="1"/>
  <c r="J42" i="1"/>
  <c r="L43" i="1"/>
  <c r="L42" i="1" s="1"/>
  <c r="F43" i="1"/>
  <c r="F42" i="1" s="1"/>
  <c r="G43" i="1"/>
  <c r="H43" i="1" s="1"/>
  <c r="B43" i="1"/>
  <c r="B42" i="1" s="1"/>
  <c r="W27" i="1"/>
  <c r="X27" i="1"/>
  <c r="W38" i="1"/>
  <c r="W37" i="1"/>
  <c r="Y37" i="1" s="1"/>
  <c r="W36" i="1"/>
  <c r="W35" i="1"/>
  <c r="W34" i="1"/>
  <c r="W33" i="1"/>
  <c r="W32" i="1"/>
  <c r="Y32" i="1" s="1"/>
  <c r="W31" i="1"/>
  <c r="Y31" i="1" s="1"/>
  <c r="W30" i="1"/>
  <c r="W29" i="1"/>
  <c r="W28" i="1"/>
  <c r="X28" i="1"/>
  <c r="X33" i="1"/>
  <c r="X34" i="1"/>
  <c r="X35" i="1"/>
  <c r="X36" i="1"/>
  <c r="Y36" i="1" s="1"/>
  <c r="X38" i="1"/>
  <c r="D7" i="1"/>
  <c r="H7" i="1"/>
  <c r="O21" i="1"/>
  <c r="L85" i="1"/>
  <c r="J85" i="1"/>
  <c r="G85" i="1"/>
  <c r="F85" i="1"/>
  <c r="C85" i="1"/>
  <c r="B85" i="1"/>
  <c r="J84" i="1"/>
  <c r="K82" i="1"/>
  <c r="J82" i="1"/>
  <c r="G82" i="1"/>
  <c r="F82" i="1"/>
  <c r="C82" i="1"/>
  <c r="B82" i="1"/>
  <c r="L80" i="1"/>
  <c r="H80" i="1"/>
  <c r="D80" i="1"/>
  <c r="L79" i="1"/>
  <c r="H79" i="1"/>
  <c r="D79" i="1"/>
  <c r="L78" i="1"/>
  <c r="H78" i="1"/>
  <c r="D78" i="1"/>
  <c r="L77" i="1"/>
  <c r="H77" i="1"/>
  <c r="D77" i="1"/>
  <c r="L76" i="1"/>
  <c r="H76" i="1"/>
  <c r="D76" i="1"/>
  <c r="L75" i="1"/>
  <c r="H75" i="1"/>
  <c r="D75" i="1"/>
  <c r="L74" i="1"/>
  <c r="H74" i="1"/>
  <c r="D74" i="1"/>
  <c r="L73" i="1"/>
  <c r="H73" i="1"/>
  <c r="D73" i="1"/>
  <c r="L72" i="1"/>
  <c r="H72" i="1"/>
  <c r="D72" i="1"/>
  <c r="L71" i="1"/>
  <c r="H71" i="1"/>
  <c r="D71" i="1"/>
  <c r="L70" i="1"/>
  <c r="H70" i="1"/>
  <c r="D70" i="1"/>
  <c r="L69" i="1"/>
  <c r="H69" i="1"/>
  <c r="D69" i="1"/>
  <c r="L68" i="1"/>
  <c r="H68" i="1"/>
  <c r="G63" i="1"/>
  <c r="F63" i="1"/>
  <c r="F62" i="1" s="1"/>
  <c r="A63" i="1"/>
  <c r="A62" i="1"/>
  <c r="K60" i="1"/>
  <c r="J60" i="1"/>
  <c r="G60" i="1"/>
  <c r="F60" i="1"/>
  <c r="C60" i="1"/>
  <c r="B60" i="1"/>
  <c r="K58" i="1"/>
  <c r="H58" i="1"/>
  <c r="D58" i="1"/>
  <c r="K57" i="1"/>
  <c r="H57" i="1"/>
  <c r="D57" i="1"/>
  <c r="K56" i="1"/>
  <c r="H56" i="1"/>
  <c r="D56" i="1"/>
  <c r="K55" i="1"/>
  <c r="H55" i="1"/>
  <c r="D55" i="1"/>
  <c r="K54" i="1"/>
  <c r="H54" i="1"/>
  <c r="D54" i="1"/>
  <c r="K53" i="1"/>
  <c r="H53" i="1"/>
  <c r="D53" i="1"/>
  <c r="K52" i="1"/>
  <c r="H52" i="1"/>
  <c r="D52" i="1"/>
  <c r="K51" i="1"/>
  <c r="H51" i="1"/>
  <c r="D51" i="1"/>
  <c r="K50" i="1"/>
  <c r="H50" i="1"/>
  <c r="D50" i="1"/>
  <c r="K49" i="1"/>
  <c r="H49" i="1"/>
  <c r="D49" i="1"/>
  <c r="K48" i="1"/>
  <c r="H48" i="1"/>
  <c r="D48" i="1"/>
  <c r="K47" i="1"/>
  <c r="H47" i="1"/>
  <c r="D47" i="1"/>
  <c r="K46" i="1"/>
  <c r="J46" i="1"/>
  <c r="G46" i="1"/>
  <c r="C68" i="1" s="1"/>
  <c r="G68" i="1" s="1"/>
  <c r="K68" i="1" s="1"/>
  <c r="F46" i="1"/>
  <c r="B68" i="1" s="1"/>
  <c r="F68" i="1" s="1"/>
  <c r="J68" i="1" s="1"/>
  <c r="C46" i="1"/>
  <c r="B46" i="1"/>
  <c r="K43" i="1"/>
  <c r="K42" i="1" s="1"/>
  <c r="J43" i="1"/>
  <c r="A43" i="1"/>
  <c r="N42" i="1"/>
  <c r="A42" i="1"/>
  <c r="X40" i="1"/>
  <c r="W40" i="1"/>
  <c r="T40" i="1"/>
  <c r="S40" i="1"/>
  <c r="P40" i="1"/>
  <c r="O40" i="1"/>
  <c r="G40" i="1"/>
  <c r="F40" i="1"/>
  <c r="C40" i="1"/>
  <c r="B40" i="1"/>
  <c r="P39" i="1"/>
  <c r="T38" i="1"/>
  <c r="S38" i="1"/>
  <c r="U38" i="1" s="1"/>
  <c r="O38" i="1"/>
  <c r="H38" i="1"/>
  <c r="D38" i="1"/>
  <c r="T37" i="1"/>
  <c r="S37" i="1"/>
  <c r="O37" i="1"/>
  <c r="H37" i="1"/>
  <c r="D37" i="1"/>
  <c r="T36" i="1"/>
  <c r="S36" i="1"/>
  <c r="U36" i="1" s="1"/>
  <c r="O36" i="1"/>
  <c r="H36" i="1"/>
  <c r="D36" i="1"/>
  <c r="T35" i="1"/>
  <c r="S35" i="1"/>
  <c r="O35" i="1"/>
  <c r="H35" i="1"/>
  <c r="D35" i="1"/>
  <c r="T34" i="1"/>
  <c r="S34" i="1"/>
  <c r="O34" i="1"/>
  <c r="H34" i="1"/>
  <c r="D34" i="1"/>
  <c r="T33" i="1"/>
  <c r="S33" i="1"/>
  <c r="O33" i="1"/>
  <c r="Q33" i="1" s="1"/>
  <c r="H33" i="1"/>
  <c r="D33" i="1"/>
  <c r="T32" i="1"/>
  <c r="S32" i="1"/>
  <c r="O32" i="1"/>
  <c r="H32" i="1"/>
  <c r="D32" i="1"/>
  <c r="T31" i="1"/>
  <c r="S31" i="1"/>
  <c r="O31" i="1"/>
  <c r="Q31" i="1" s="1"/>
  <c r="H31" i="1"/>
  <c r="D31" i="1"/>
  <c r="T30" i="1"/>
  <c r="S30" i="1"/>
  <c r="O30" i="1"/>
  <c r="H30" i="1"/>
  <c r="D30" i="1"/>
  <c r="T29" i="1"/>
  <c r="S29" i="1"/>
  <c r="O29" i="1"/>
  <c r="H29" i="1"/>
  <c r="D29" i="1"/>
  <c r="T28" i="1"/>
  <c r="S28" i="1"/>
  <c r="O28" i="1"/>
  <c r="H28" i="1"/>
  <c r="D28" i="1"/>
  <c r="T27" i="1"/>
  <c r="S27" i="1"/>
  <c r="O27" i="1"/>
  <c r="H27" i="1"/>
  <c r="D27" i="1"/>
  <c r="X26" i="1"/>
  <c r="W26" i="1"/>
  <c r="T26" i="1"/>
  <c r="S26" i="1"/>
  <c r="P26" i="1"/>
  <c r="O26" i="1"/>
  <c r="H26" i="1"/>
  <c r="H46" i="1" s="1"/>
  <c r="G26" i="1"/>
  <c r="F26" i="1"/>
  <c r="D26" i="1"/>
  <c r="D46" i="1" s="1"/>
  <c r="C26" i="1"/>
  <c r="B26" i="1"/>
  <c r="X25" i="1"/>
  <c r="T25" i="1"/>
  <c r="P25" i="1"/>
  <c r="K25" i="1"/>
  <c r="N23" i="1"/>
  <c r="N43" i="1" s="1"/>
  <c r="K23" i="1"/>
  <c r="J23" i="1"/>
  <c r="G23" i="1"/>
  <c r="F23" i="1"/>
  <c r="F22" i="1" s="1"/>
  <c r="N22" i="1"/>
  <c r="N21" i="1"/>
  <c r="X20" i="1"/>
  <c r="W20" i="1"/>
  <c r="T20" i="1"/>
  <c r="S20" i="1"/>
  <c r="P20" i="1"/>
  <c r="O20" i="1"/>
  <c r="G20" i="1"/>
  <c r="K20" i="1" s="1"/>
  <c r="F20" i="1"/>
  <c r="J20" i="1" s="1"/>
  <c r="X18" i="1"/>
  <c r="T18" i="1"/>
  <c r="P18" i="1"/>
  <c r="L18" i="1"/>
  <c r="H18" i="1"/>
  <c r="D18" i="1"/>
  <c r="X17" i="1"/>
  <c r="T17" i="1"/>
  <c r="U17" i="1"/>
  <c r="P17" i="1"/>
  <c r="L17" i="1"/>
  <c r="H17" i="1"/>
  <c r="D17" i="1"/>
  <c r="X16" i="1"/>
  <c r="T16" i="1"/>
  <c r="P16" i="1"/>
  <c r="Q16" i="1" s="1"/>
  <c r="L16" i="1"/>
  <c r="H16" i="1"/>
  <c r="D16" i="1"/>
  <c r="X15" i="1"/>
  <c r="T15" i="1"/>
  <c r="P15" i="1"/>
  <c r="L15" i="1"/>
  <c r="H15" i="1"/>
  <c r="D15" i="1"/>
  <c r="X14" i="1"/>
  <c r="Y14" i="1" s="1"/>
  <c r="T14" i="1"/>
  <c r="U14" i="1"/>
  <c r="P14" i="1"/>
  <c r="L14" i="1"/>
  <c r="H14" i="1"/>
  <c r="D14" i="1"/>
  <c r="X13" i="1"/>
  <c r="T13" i="1"/>
  <c r="U13" i="1"/>
  <c r="P13" i="1"/>
  <c r="Q13" i="1" s="1"/>
  <c r="L13" i="1"/>
  <c r="H13" i="1"/>
  <c r="D13" i="1"/>
  <c r="X12" i="1"/>
  <c r="T12" i="1"/>
  <c r="P12" i="1"/>
  <c r="L12" i="1"/>
  <c r="H12" i="1"/>
  <c r="D12" i="1"/>
  <c r="X11" i="1"/>
  <c r="T11" i="1"/>
  <c r="U11" i="1"/>
  <c r="P11" i="1"/>
  <c r="L11" i="1"/>
  <c r="H11" i="1"/>
  <c r="D11" i="1"/>
  <c r="X10" i="1"/>
  <c r="T10" i="1"/>
  <c r="U10" i="1"/>
  <c r="P10" i="1"/>
  <c r="L10" i="1"/>
  <c r="H10" i="1"/>
  <c r="D10" i="1"/>
  <c r="X9" i="1"/>
  <c r="Y9" i="1" s="1"/>
  <c r="T9" i="1"/>
  <c r="P9" i="1"/>
  <c r="L9" i="1"/>
  <c r="H9" i="1"/>
  <c r="D9" i="1"/>
  <c r="X8" i="1"/>
  <c r="T8" i="1"/>
  <c r="P8" i="1"/>
  <c r="L8" i="1"/>
  <c r="H8" i="1"/>
  <c r="D8" i="1"/>
  <c r="X7" i="1"/>
  <c r="W21" i="1"/>
  <c r="T7" i="1"/>
  <c r="S21" i="1"/>
  <c r="P7" i="1"/>
  <c r="L7" i="1"/>
  <c r="X6" i="1"/>
  <c r="W6" i="1"/>
  <c r="T6" i="1"/>
  <c r="S6" i="1"/>
  <c r="P6" i="1"/>
  <c r="O6" i="1"/>
  <c r="L6" i="1"/>
  <c r="Q6" i="1" s="1"/>
  <c r="H6" i="1"/>
  <c r="G6" i="1"/>
  <c r="K6" i="1" s="1"/>
  <c r="F6" i="1"/>
  <c r="J6" i="1" s="1"/>
  <c r="X5" i="1"/>
  <c r="T5" i="1"/>
  <c r="P5" i="1"/>
  <c r="T3" i="1"/>
  <c r="Y1" i="1"/>
  <c r="U32" i="1" l="1"/>
  <c r="Y30" i="1"/>
  <c r="X41" i="1"/>
  <c r="K61" i="1"/>
  <c r="T41" i="1"/>
  <c r="X21" i="1"/>
  <c r="Y21" i="1" s="1"/>
  <c r="T21" i="1"/>
  <c r="P21" i="1"/>
  <c r="W41" i="1"/>
  <c r="W43" i="1"/>
  <c r="W42" i="1" s="1"/>
  <c r="J61" i="1"/>
  <c r="L47" i="1"/>
  <c r="L53" i="1"/>
  <c r="U30" i="1"/>
  <c r="S41" i="1"/>
  <c r="Q27" i="1"/>
  <c r="O41" i="1"/>
  <c r="Y17" i="1"/>
  <c r="Y15" i="1"/>
  <c r="Y10" i="1"/>
  <c r="H23" i="1"/>
  <c r="U15" i="1"/>
  <c r="Q14" i="1"/>
  <c r="O23" i="1"/>
  <c r="O22" i="1" s="1"/>
  <c r="Y34" i="1"/>
  <c r="U16" i="1"/>
  <c r="Y33" i="1"/>
  <c r="Y29" i="1"/>
  <c r="G84" i="1"/>
  <c r="H41" i="1"/>
  <c r="U8" i="1"/>
  <c r="C62" i="1"/>
  <c r="H85" i="1"/>
  <c r="H83" i="1"/>
  <c r="Y35" i="1"/>
  <c r="C84" i="1"/>
  <c r="B84" i="1"/>
  <c r="D85" i="1"/>
  <c r="L51" i="1"/>
  <c r="G62" i="1"/>
  <c r="H63" i="1"/>
  <c r="L57" i="1"/>
  <c r="L49" i="1"/>
  <c r="L55" i="1"/>
  <c r="L48" i="1"/>
  <c r="L54" i="1"/>
  <c r="B62" i="1"/>
  <c r="L56" i="1"/>
  <c r="L52" i="1"/>
  <c r="D61" i="1"/>
  <c r="J63" i="1"/>
  <c r="L58" i="1"/>
  <c r="L50" i="1"/>
  <c r="Y38" i="1"/>
  <c r="Y27" i="1"/>
  <c r="Y28" i="1"/>
  <c r="U34" i="1"/>
  <c r="G42" i="1"/>
  <c r="U28" i="1"/>
  <c r="U35" i="1"/>
  <c r="S43" i="1"/>
  <c r="U31" i="1"/>
  <c r="U27" i="1"/>
  <c r="U37" i="1"/>
  <c r="U33" i="1"/>
  <c r="U29" i="1"/>
  <c r="S42" i="1"/>
  <c r="P43" i="1"/>
  <c r="P42" i="1" s="1"/>
  <c r="Q29" i="1"/>
  <c r="D43" i="1"/>
  <c r="Q35" i="1"/>
  <c r="Q37" i="1"/>
  <c r="Q38" i="1"/>
  <c r="Q30" i="1"/>
  <c r="Q36" i="1"/>
  <c r="Q34" i="1"/>
  <c r="Q41" i="1"/>
  <c r="Q32" i="1"/>
  <c r="K22" i="1"/>
  <c r="L21" i="1"/>
  <c r="T23" i="1"/>
  <c r="U23" i="1" s="1"/>
  <c r="U9" i="1"/>
  <c r="U12" i="1"/>
  <c r="G22" i="1"/>
  <c r="U18" i="1"/>
  <c r="P23" i="1"/>
  <c r="Q23" i="1" s="1"/>
  <c r="D23" i="1"/>
  <c r="Q9" i="1"/>
  <c r="Q8" i="1"/>
  <c r="Y12" i="1"/>
  <c r="Y11" i="1"/>
  <c r="W23" i="1"/>
  <c r="Y16" i="1"/>
  <c r="L23" i="1"/>
  <c r="Y18" i="1"/>
  <c r="Y8" i="1"/>
  <c r="J22" i="1"/>
  <c r="Y13" i="1"/>
  <c r="S23" i="1"/>
  <c r="H21" i="1"/>
  <c r="Q10" i="1"/>
  <c r="Q18" i="1"/>
  <c r="Q17" i="1"/>
  <c r="Q15" i="1"/>
  <c r="Q11" i="1"/>
  <c r="Q12" i="1"/>
  <c r="Q26" i="1"/>
  <c r="U6" i="1"/>
  <c r="T43" i="1"/>
  <c r="L46" i="1"/>
  <c r="U7" i="1"/>
  <c r="D83" i="1"/>
  <c r="K84" i="1"/>
  <c r="Y7" i="1"/>
  <c r="S22" i="1"/>
  <c r="X23" i="1"/>
  <c r="Q28" i="1"/>
  <c r="X43" i="1"/>
  <c r="D63" i="1"/>
  <c r="O43" i="1"/>
  <c r="O42" i="1" s="1"/>
  <c r="K63" i="1"/>
  <c r="Q7" i="1"/>
  <c r="Y41" i="1" l="1"/>
  <c r="T22" i="1"/>
  <c r="X42" i="1"/>
  <c r="L63" i="1"/>
  <c r="J62" i="1"/>
  <c r="U43" i="1"/>
  <c r="Y23" i="1"/>
  <c r="W22" i="1"/>
  <c r="Q43" i="1"/>
  <c r="P22" i="1"/>
  <c r="Q21" i="1"/>
  <c r="X22" i="1"/>
  <c r="U21" i="1"/>
  <c r="K62" i="1"/>
  <c r="L61" i="1"/>
  <c r="Y43" i="1"/>
  <c r="T42" i="1"/>
  <c r="U41" i="1"/>
  <c r="U26" i="1"/>
  <c r="Y6" i="1"/>
  <c r="Y26" i="1" s="1"/>
</calcChain>
</file>

<file path=xl/sharedStrings.xml><?xml version="1.0" encoding="utf-8"?>
<sst xmlns="http://schemas.openxmlformats.org/spreadsheetml/2006/main" count="189" uniqueCount="81">
  <si>
    <t>Report of Dollars</t>
  </si>
  <si>
    <t>Report of Volume in Gallons/Units</t>
  </si>
  <si>
    <t xml:space="preserve">    </t>
  </si>
  <si>
    <t xml:space="preserve"> </t>
  </si>
  <si>
    <t>See notes, page 2</t>
  </si>
  <si>
    <t>(thousands)</t>
  </si>
  <si>
    <t>See notes, below</t>
  </si>
  <si>
    <t>(thousands, except Trip Permits)</t>
  </si>
  <si>
    <t>Gasoline &amp; Gasohol</t>
  </si>
  <si>
    <t>Diesel</t>
  </si>
  <si>
    <t>LP-Gas</t>
  </si>
  <si>
    <t>Month</t>
  </si>
  <si>
    <t>% chg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</si>
  <si>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</si>
  <si>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</si>
  <si>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</si>
  <si>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</si>
  <si>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</si>
  <si>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</si>
  <si>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</si>
  <si>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</si>
  <si>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</si>
  <si>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</si>
  <si>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</si>
  <si>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</si>
  <si>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Gasoline &amp; Gasohol Fiscal Year to Date</t>
  </si>
  <si>
    <t xml:space="preserve">             Diesel Fiscal Year to Date</t>
  </si>
  <si>
    <t xml:space="preserve">              LP Gas Fiscal Year to Date</t>
  </si>
  <si>
    <t xml:space="preserve">                 Diesel Fiscal Year to Date</t>
  </si>
  <si>
    <t>FY</t>
  </si>
  <si>
    <t xml:space="preserve">      % chg</t>
  </si>
  <si>
    <t xml:space="preserve">          % chg</t>
  </si>
  <si>
    <t xml:space="preserve">       % chg</t>
  </si>
  <si>
    <t xml:space="preserve">        % chg</t>
  </si>
  <si>
    <t>FYTD</t>
  </si>
  <si>
    <t>% total</t>
  </si>
  <si>
    <t>n/a</t>
  </si>
  <si>
    <t>FYTotal</t>
  </si>
  <si>
    <t>Interstate</t>
  </si>
  <si>
    <t xml:space="preserve">      Trip Permits</t>
  </si>
  <si>
    <t>(number)</t>
  </si>
  <si>
    <t>Alcohol</t>
  </si>
  <si>
    <t>Highway</t>
  </si>
  <si>
    <t>Sp C/C</t>
  </si>
  <si>
    <t>Interstate Fiscal Year to Date</t>
  </si>
  <si>
    <t>Trip Permits Fiscal Year to Date</t>
  </si>
  <si>
    <t>FY 2022 Distribution Fiscal Year to Date</t>
  </si>
  <si>
    <t xml:space="preserve">            Trip Permits Fiscal Year to Date</t>
  </si>
  <si>
    <t>Total Refunds Fiscal Year to Date</t>
  </si>
  <si>
    <t xml:space="preserve">      Alcohol</t>
  </si>
  <si>
    <t xml:space="preserve">       Highway</t>
  </si>
  <si>
    <t xml:space="preserve">      Sp C/C</t>
  </si>
  <si>
    <t xml:space="preserve">     % chg</t>
  </si>
  <si>
    <t xml:space="preserve">         % chg</t>
  </si>
  <si>
    <t>Net</t>
  </si>
  <si>
    <t>Total Collections</t>
  </si>
  <si>
    <t>Total Refunds</t>
  </si>
  <si>
    <t>Net after Refunds</t>
  </si>
  <si>
    <t>NOTES:</t>
  </si>
  <si>
    <t>All information in this report are obtained from KDOR's comparative Statement of Taxes and Fees, which reports monthly collection of receipts.</t>
  </si>
  <si>
    <t xml:space="preserve">Months are collection months. </t>
  </si>
  <si>
    <t>Gallons are unrounded collections divided by current tax rate  (Gasoline, Gasohol @ 24¢; Special, Interstate @</t>
  </si>
  <si>
    <t>26¢; LP-G @ 23¢; Trips @ $13.00) EXCEPT Refund gallons are from all fuels, with a rate at about 24¢</t>
  </si>
  <si>
    <t>Interstate gallons computed at special motor fuel tax rate.  IFTA gallons included when transferred from IFTA Clearing Fund.</t>
  </si>
  <si>
    <t>Inventory taxes apply when fuel rates change.</t>
  </si>
  <si>
    <t>Total Collections include collections from E-85.</t>
  </si>
  <si>
    <t>Totals may not equal sums from rounding.</t>
  </si>
  <si>
    <t>Total Collections Fiscal Year to Date</t>
  </si>
  <si>
    <t>Net of Refund Fiscal Year to Date</t>
  </si>
  <si>
    <t>Gasoline &amp; Gasohol Refunds</t>
  </si>
  <si>
    <t>Diesel Refunds</t>
  </si>
  <si>
    <t>LP-Gas Refunds</t>
  </si>
  <si>
    <t xml:space="preserve">MAY </t>
  </si>
  <si>
    <t>Gasoline &amp; Gasohol Refunds Fiscal Year to Date</t>
  </si>
  <si>
    <t>Diesel Refunds Fiscal Year to Date</t>
  </si>
  <si>
    <t>LP-Gas Refunds Fiscal Year to Date</t>
  </si>
  <si>
    <t>FY23</t>
  </si>
  <si>
    <t>FY 22</t>
  </si>
  <si>
    <t>FY 2024: Actual Collections of Motor Fuel Taxes</t>
  </si>
  <si>
    <t>FY24</t>
  </si>
  <si>
    <t>FY 2024: Actual Volume in Gallons/Units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</si>
</sst>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\ ;\(#,##0.000\)"/>
    <numFmt numFmtId="165" formatCode="&quot;$&quot;#,##0"/>
    <numFmt numFmtId="166" formatCode="0.0%;\(0.0%\)"/>
    <numFmt numFmtId="167" formatCode="&quot;$&quot;#,##0.000\ ;\(&quot;$&quot;#,##0.000\)"/>
    <numFmt numFmtId="168" formatCode="0.00%;\(0.00%\)"/>
    <numFmt numFmtId="169" formatCode="&quot;$&quot;#,##0.000;\(&quot;$&quot;#,##0.000\)"/>
    <numFmt numFmtId="170" formatCode="#,##0.000;\(#,##0.000\)"/>
    <numFmt numFmtId="171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5" fontId="3" fillId="0" borderId="0" xfId="0" applyNumberFormat="1" applyFont="1"/>
    <xf numFmtId="164" fontId="3" fillId="0" borderId="0" xfId="0" applyNumberFormat="1" applyFont="1" applyAlignment="1">
      <alignment horizontal="left"/>
    </xf>
    <xf numFmtId="3" fontId="3" fillId="0" borderId="0" xfId="0" applyNumberFormat="1" applyFont="1"/>
    <xf numFmtId="0" fontId="3" fillId="0" borderId="0" xfId="0" applyFont="1" applyAlignment="1">
      <alignment horizontal="fill"/>
    </xf>
    <xf numFmtId="3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fill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2" applyNumberFormat="1" applyFont="1"/>
    <xf numFmtId="166" fontId="3" fillId="0" borderId="0" xfId="0" applyNumberFormat="1" applyFont="1"/>
    <xf numFmtId="6" fontId="3" fillId="0" borderId="0" xfId="2" applyNumberFormat="1" applyFont="1"/>
    <xf numFmtId="3" fontId="3" fillId="0" borderId="0" xfId="1" applyNumberFormat="1" applyFont="1"/>
    <xf numFmtId="166" fontId="3" fillId="0" borderId="4" xfId="0" applyNumberFormat="1" applyFont="1" applyBorder="1"/>
    <xf numFmtId="3" fontId="3" fillId="0" borderId="4" xfId="0" applyNumberFormat="1" applyFont="1" applyBorder="1"/>
    <xf numFmtId="0" fontId="3" fillId="0" borderId="2" xfId="0" applyFont="1" applyBorder="1" applyAlignment="1">
      <alignment horizontal="left"/>
    </xf>
    <xf numFmtId="3" fontId="3" fillId="0" borderId="2" xfId="0" applyNumberFormat="1" applyFont="1" applyBorder="1"/>
    <xf numFmtId="0" fontId="3" fillId="0" borderId="0" xfId="0" applyFont="1" applyAlignment="1">
      <alignment horizontal="center" vertical="center"/>
    </xf>
    <xf numFmtId="5" fontId="3" fillId="0" borderId="0" xfId="0" applyNumberFormat="1" applyFont="1" applyAlignment="1">
      <alignment horizontal="center"/>
    </xf>
    <xf numFmtId="167" fontId="3" fillId="0" borderId="0" xfId="0" applyNumberFormat="1" applyFont="1"/>
    <xf numFmtId="37" fontId="3" fillId="0" borderId="0" xfId="0" applyNumberFormat="1" applyFont="1"/>
    <xf numFmtId="3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/>
    </xf>
    <xf numFmtId="166" fontId="3" fillId="0" borderId="0" xfId="0" applyNumberFormat="1" applyFont="1" applyAlignment="1">
      <alignment horizontal="right"/>
    </xf>
    <xf numFmtId="6" fontId="3" fillId="0" borderId="0" xfId="2" applyNumberFormat="1" applyFont="1" applyAlignment="1"/>
    <xf numFmtId="168" fontId="3" fillId="0" borderId="0" xfId="0" applyNumberFormat="1" applyFont="1"/>
    <xf numFmtId="169" fontId="3" fillId="0" borderId="0" xfId="0" applyNumberFormat="1" applyFont="1"/>
    <xf numFmtId="170" fontId="3" fillId="0" borderId="0" xfId="0" applyNumberFormat="1" applyFont="1"/>
    <xf numFmtId="168" fontId="3" fillId="0" borderId="3" xfId="0" applyNumberFormat="1" applyFont="1" applyBorder="1"/>
    <xf numFmtId="0" fontId="3" fillId="0" borderId="1" xfId="0" applyFont="1" applyBorder="1"/>
    <xf numFmtId="168" fontId="3" fillId="0" borderId="3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3" fillId="0" borderId="4" xfId="0" applyNumberFormat="1" applyFont="1" applyBorder="1"/>
    <xf numFmtId="0" fontId="3" fillId="0" borderId="4" xfId="0" applyFont="1" applyBorder="1" applyAlignment="1">
      <alignment horizontal="left"/>
    </xf>
    <xf numFmtId="166" fontId="3" fillId="0" borderId="2" xfId="0" applyNumberFormat="1" applyFont="1" applyBorder="1"/>
    <xf numFmtId="5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71" fontId="3" fillId="0" borderId="0" xfId="3" applyNumberFormat="1" applyFont="1" applyAlignment="1">
      <alignment horizontal="right"/>
    </xf>
    <xf numFmtId="6" fontId="3" fillId="0" borderId="0" xfId="2" applyNumberFormat="1" applyFont="1" applyAlignment="1">
      <alignment horizontal="right"/>
    </xf>
    <xf numFmtId="43" fontId="3" fillId="0" borderId="0" xfId="1" applyFont="1"/>
    <xf numFmtId="38" fontId="3" fillId="0" borderId="0" xfId="0" applyNumberFormat="1" applyFont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7" fontId="3" fillId="0" borderId="0" xfId="0" applyNumberFormat="1" applyFont="1" applyAlignment="1">
      <alignment horizontal="center"/>
    </xf>
    <xf numFmtId="170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fill"/>
    </xf>
    <xf numFmtId="0" fontId="3" fillId="0" borderId="3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6" xfId="0" applyFont="1" applyBorder="1"/>
    <xf numFmtId="165" fontId="3" fillId="0" borderId="0" xfId="0" applyNumberFormat="1" applyFont="1" applyAlignment="1">
      <alignment horizontal="right"/>
    </xf>
    <xf numFmtId="6" fontId="3" fillId="0" borderId="0" xfId="0" applyNumberFormat="1" applyFont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DB270-31A3-46E7-AB26-EE907EA286B1}">
  <dimension ref="A1:AD8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" sqref="G1"/>
    </sheetView>
  </sheetViews>
  <sheetFormatPr defaultRowHeight="14.4" x14ac:dyDescent="0.3"/>
  <cols>
    <col min="1" max="1" width="6.88671875" customWidth="1"/>
    <col min="2" max="2" width="10.5546875" customWidth="1"/>
    <col min="3" max="3" width="12.33203125" customWidth="1"/>
    <col min="4" max="4" width="10" customWidth="1"/>
    <col min="5" max="5" width="2.88671875" customWidth="1"/>
    <col min="6" max="6" width="10.44140625" customWidth="1"/>
    <col min="7" max="7" width="10" customWidth="1"/>
    <col min="8" max="8" width="10.5546875" customWidth="1"/>
    <col min="9" max="9" width="2.88671875" customWidth="1"/>
    <col min="10" max="10" width="10.109375" customWidth="1"/>
    <col min="11" max="11" width="11.109375" customWidth="1"/>
    <col min="12" max="12" width="10.88671875" customWidth="1"/>
    <col min="13" max="13" width="1.88671875" customWidth="1"/>
    <col min="14" max="14" width="6.88671875" customWidth="1"/>
    <col min="15" max="15" width="11.6640625" customWidth="1"/>
    <col min="16" max="16" width="11.109375" customWidth="1"/>
    <col min="17" max="17" width="9.6640625" customWidth="1"/>
    <col min="18" max="18" width="2.88671875" customWidth="1"/>
    <col min="19" max="19" width="13" customWidth="1"/>
    <col min="20" max="20" width="12.109375" customWidth="1"/>
    <col min="21" max="21" width="9.6640625" customWidth="1"/>
    <col min="22" max="22" width="2.88671875" customWidth="1"/>
    <col min="23" max="23" width="10.88671875" customWidth="1"/>
    <col min="24" max="24" width="11.44140625" customWidth="1"/>
    <col min="25" max="25" width="11" customWidth="1"/>
    <col min="26" max="26" width="11.109375" customWidth="1"/>
    <col min="27" max="29" width="9.88671875" customWidth="1"/>
    <col min="30" max="30" width="9.6640625" customWidth="1"/>
  </cols>
  <sheetData>
    <row r="1" spans="1:30" x14ac:dyDescent="0.3">
      <c r="A1" s="1"/>
      <c r="B1" s="2"/>
      <c r="C1" s="3"/>
      <c r="D1" s="2"/>
      <c r="E1" s="2"/>
      <c r="F1" s="2"/>
      <c r="G1" s="4" t="s">
        <v>0</v>
      </c>
      <c r="H1" s="2"/>
      <c r="I1" s="2"/>
      <c r="J1" s="2"/>
      <c r="K1" s="5"/>
      <c r="L1" s="6"/>
      <c r="M1" s="2"/>
      <c r="N1" s="1"/>
      <c r="O1" s="2"/>
      <c r="P1" s="2"/>
      <c r="Q1" s="2"/>
      <c r="R1" s="2"/>
      <c r="S1" s="2"/>
      <c r="T1" s="4" t="s">
        <v>1</v>
      </c>
      <c r="U1" s="2"/>
      <c r="V1" s="2"/>
      <c r="W1" s="2"/>
      <c r="X1" s="2"/>
      <c r="Y1" s="6" t="str">
        <f>"2/2"</f>
        <v>2/2</v>
      </c>
      <c r="Z1" s="2"/>
      <c r="AA1" s="2"/>
      <c r="AB1" s="2"/>
      <c r="AC1" s="2"/>
      <c r="AD1" s="2"/>
    </row>
    <row r="2" spans="1:30" x14ac:dyDescent="0.3">
      <c r="A2" s="1"/>
      <c r="B2" s="2"/>
      <c r="C2" s="7"/>
      <c r="D2" s="2"/>
      <c r="E2" s="2"/>
      <c r="F2" s="2"/>
      <c r="G2" s="3" t="s">
        <v>78</v>
      </c>
      <c r="H2" s="2"/>
      <c r="I2" s="2"/>
      <c r="J2" s="5"/>
      <c r="K2" s="8"/>
      <c r="L2" s="6"/>
      <c r="M2" s="2"/>
      <c r="N2" s="1"/>
      <c r="O2" s="2"/>
      <c r="P2" s="9"/>
      <c r="Q2" s="2"/>
      <c r="R2" s="2"/>
      <c r="S2" s="2"/>
      <c r="T2" s="3" t="s">
        <v>80</v>
      </c>
      <c r="U2" s="2"/>
      <c r="V2" s="2"/>
      <c r="W2" s="2"/>
      <c r="X2" s="2"/>
      <c r="Y2" s="2"/>
      <c r="Z2" s="6"/>
      <c r="AA2" s="2"/>
      <c r="AB2" s="2"/>
      <c r="AC2" s="2"/>
      <c r="AD2" s="2"/>
    </row>
    <row r="3" spans="1:30" x14ac:dyDescent="0.3">
      <c r="A3" s="2"/>
      <c r="B3" s="2"/>
      <c r="C3" s="2"/>
      <c r="D3" s="2"/>
      <c r="E3" s="2"/>
      <c r="F3" s="5"/>
      <c r="G3" s="3" t="s">
        <v>2</v>
      </c>
      <c r="H3" s="2"/>
      <c r="I3" s="2"/>
      <c r="J3" s="5"/>
      <c r="K3" s="5"/>
      <c r="L3" s="6"/>
      <c r="M3" s="2"/>
      <c r="N3" s="2"/>
      <c r="O3" s="2"/>
      <c r="P3" s="2" t="s">
        <v>3</v>
      </c>
      <c r="Q3" s="2"/>
      <c r="R3" s="2"/>
      <c r="S3" s="2"/>
      <c r="T3" s="3" t="str">
        <f>G3</f>
        <v xml:space="preserve">    </v>
      </c>
      <c r="U3" s="2"/>
      <c r="V3" s="2"/>
      <c r="W3" s="2"/>
      <c r="X3" s="2"/>
      <c r="Y3" s="2"/>
      <c r="Z3" s="6"/>
      <c r="AA3" s="2"/>
      <c r="AB3" s="2"/>
      <c r="AC3" s="2"/>
      <c r="AD3" s="2"/>
    </row>
    <row r="4" spans="1:30" x14ac:dyDescent="0.3">
      <c r="A4" s="2" t="s">
        <v>4</v>
      </c>
      <c r="B4" s="10"/>
      <c r="C4" s="11"/>
      <c r="D4" s="2"/>
      <c r="E4" s="2"/>
      <c r="F4" s="5"/>
      <c r="G4" s="4" t="s">
        <v>5</v>
      </c>
      <c r="H4" s="7"/>
      <c r="I4" s="2"/>
      <c r="J4" s="5"/>
      <c r="K4" s="2"/>
      <c r="L4" s="2"/>
      <c r="M4" s="2"/>
      <c r="N4" s="2" t="s">
        <v>6</v>
      </c>
      <c r="O4" s="2"/>
      <c r="P4" s="9"/>
      <c r="Q4" s="9"/>
      <c r="R4" s="9"/>
      <c r="S4" s="9"/>
      <c r="T4" s="4" t="s">
        <v>7</v>
      </c>
      <c r="U4" s="9"/>
      <c r="V4" s="9"/>
      <c r="W4" s="9"/>
      <c r="X4" s="9"/>
      <c r="Y4" s="2"/>
      <c r="Z4" s="2"/>
      <c r="AA4" s="2"/>
      <c r="AB4" s="2"/>
      <c r="AC4" s="2"/>
      <c r="AD4" s="2"/>
    </row>
    <row r="5" spans="1:30" x14ac:dyDescent="0.3">
      <c r="A5" s="2"/>
      <c r="B5" s="12"/>
      <c r="C5" s="13" t="s">
        <v>8</v>
      </c>
      <c r="D5" s="14"/>
      <c r="E5" s="3"/>
      <c r="F5" s="15"/>
      <c r="G5" s="13" t="s">
        <v>9</v>
      </c>
      <c r="H5" s="14"/>
      <c r="I5" s="2"/>
      <c r="J5" s="15"/>
      <c r="K5" s="16" t="s">
        <v>10</v>
      </c>
      <c r="L5" s="14"/>
      <c r="M5" s="2"/>
      <c r="N5" s="2"/>
      <c r="O5" s="12"/>
      <c r="P5" s="13" t="str">
        <f>C5</f>
        <v>Gasoline &amp; Gasohol</v>
      </c>
      <c r="Q5" s="14"/>
      <c r="R5" s="3"/>
      <c r="S5" s="15"/>
      <c r="T5" s="13" t="str">
        <f>G5</f>
        <v>Diesel</v>
      </c>
      <c r="U5" s="14"/>
      <c r="V5" s="2"/>
      <c r="W5" s="15"/>
      <c r="X5" s="13" t="str">
        <f>K5</f>
        <v>LP-Gas</v>
      </c>
      <c r="Y5" s="14"/>
      <c r="Z5" s="2"/>
      <c r="AA5" s="2"/>
      <c r="AB5" s="2"/>
      <c r="AC5" s="2"/>
      <c r="AD5" s="2"/>
    </row>
    <row r="6" spans="1:30" x14ac:dyDescent="0.3">
      <c r="A6" s="17" t="s">
        <v>11</v>
      </c>
      <c r="B6" s="18" t="s">
        <v>76</v>
      </c>
      <c r="C6" s="19" t="s">
        <v>79</v>
      </c>
      <c r="D6" s="20" t="s">
        <v>12</v>
      </c>
      <c r="E6" s="3"/>
      <c r="F6" s="21" t="str">
        <f>B6</f>
        <v>FY23</v>
      </c>
      <c r="G6" s="17" t="str">
        <f>C6</f>
        <v>FY24</v>
      </c>
      <c r="H6" s="20" t="str">
        <f>D6</f>
        <v>% chg</v>
      </c>
      <c r="I6" s="2"/>
      <c r="J6" s="21" t="str">
        <f>F6</f>
        <v>FY23</v>
      </c>
      <c r="K6" s="17" t="str">
        <f>G6</f>
        <v>FY24</v>
      </c>
      <c r="L6" s="20" t="str">
        <f>D6</f>
        <v>% chg</v>
      </c>
      <c r="M6" s="2"/>
      <c r="N6" s="17" t="s">
        <v>11</v>
      </c>
      <c r="O6" s="21" t="str">
        <f>B6</f>
        <v>FY23</v>
      </c>
      <c r="P6" s="17" t="str">
        <f>C6</f>
        <v>FY24</v>
      </c>
      <c r="Q6" s="20" t="str">
        <f>L6</f>
        <v>% chg</v>
      </c>
      <c r="R6" s="3"/>
      <c r="S6" s="21" t="str">
        <f>B6</f>
        <v>FY23</v>
      </c>
      <c r="T6" s="17" t="str">
        <f>C6</f>
        <v>FY24</v>
      </c>
      <c r="U6" s="20" t="str">
        <f>Q6</f>
        <v>% chg</v>
      </c>
      <c r="V6" s="3"/>
      <c r="W6" s="21" t="str">
        <f>B6</f>
        <v>FY23</v>
      </c>
      <c r="X6" s="17" t="str">
        <f>C6</f>
        <v>FY24</v>
      </c>
      <c r="Y6" s="20" t="str">
        <f>U6</f>
        <v>% chg</v>
      </c>
      <c r="Z6" s="2"/>
      <c r="AA6" s="2"/>
      <c r="AB6" s="2"/>
      <c r="AC6" s="2"/>
      <c r="AD6" s="2"/>
    </row>
    <row r="7" spans="1:30" x14ac:dyDescent="0.3">
      <c r="A7" s="22" t="s">
        <v>13</v>
      </c>
      <c r="B7" s="23">
        <v>27612</v>
      </c>
      <c r="C7" s="23">
        <v>27688.196</v>
      </c>
      <c r="D7" s="24">
        <f>(C7-B7)/B7</f>
        <v>2.7595248442706037E-3</v>
      </c>
      <c r="E7" s="24"/>
      <c r="F7" s="25">
        <v>10628.5</v>
      </c>
      <c r="G7" s="25">
        <v>9784.5849999999991</v>
      </c>
      <c r="H7" s="24">
        <f>(G7-F7)/F7</f>
        <v>-7.9401138448511155E-2</v>
      </c>
      <c r="I7" s="2"/>
      <c r="J7" s="25">
        <v>160.56899999999999</v>
      </c>
      <c r="K7" s="25">
        <v>62.542999999999999</v>
      </c>
      <c r="L7" s="24">
        <f t="shared" ref="L7:L18" si="0">(K7-J7)/J7</f>
        <v>-0.61049143981715015</v>
      </c>
      <c r="M7" s="2"/>
      <c r="N7" s="22" t="s">
        <v>13</v>
      </c>
      <c r="O7" s="9">
        <f>B7/0.24</f>
        <v>115050</v>
      </c>
      <c r="P7" s="9">
        <f>C7/0.24</f>
        <v>115367.48333333334</v>
      </c>
      <c r="Q7" s="24">
        <f t="shared" ref="Q7:Q18" si="1">(P7-O7)/O7</f>
        <v>2.7595248442706406E-3</v>
      </c>
      <c r="R7" s="24"/>
      <c r="S7" s="9">
        <f t="shared" ref="S7:S18" si="2">F7/0.26</f>
        <v>40878.846153846156</v>
      </c>
      <c r="T7" s="9">
        <f t="shared" ref="T7:T18" si="3">G7/0.26</f>
        <v>37633.019230769227</v>
      </c>
      <c r="U7" s="24">
        <f t="shared" ref="U7:U18" si="4">(T7-S7)/S7</f>
        <v>-7.9401138448511224E-2</v>
      </c>
      <c r="V7" s="24"/>
      <c r="W7" s="9">
        <f t="shared" ref="W7:X9" si="5">J7/0.23</f>
        <v>698.1260869565217</v>
      </c>
      <c r="X7" s="9">
        <f t="shared" si="5"/>
        <v>271.92608695652171</v>
      </c>
      <c r="Y7" s="24">
        <f t="shared" ref="Y7:Y18" si="6">(X7-W7)/W7</f>
        <v>-0.61049143981715026</v>
      </c>
      <c r="Z7" s="2"/>
      <c r="AA7" s="2"/>
      <c r="AB7" s="2"/>
      <c r="AC7" s="2"/>
      <c r="AD7" s="2"/>
    </row>
    <row r="8" spans="1:30" x14ac:dyDescent="0.3">
      <c r="A8" s="22" t="s">
        <v>14</v>
      </c>
      <c r="B8" s="23">
        <v>29519.569</v>
      </c>
      <c r="C8" s="23">
        <v>29226.298999999999</v>
      </c>
      <c r="D8" s="24">
        <f t="shared" ref="D8:D18" si="7">(C8-B8)/B8</f>
        <v>-9.9347656464767644E-3</v>
      </c>
      <c r="E8" s="24"/>
      <c r="F8" s="25">
        <v>10808.753000000001</v>
      </c>
      <c r="G8" s="25">
        <v>10202.608</v>
      </c>
      <c r="H8" s="24">
        <f t="shared" ref="H8:H18" si="8">(G8-F8)/F8</f>
        <v>-5.6079087014015434E-2</v>
      </c>
      <c r="I8" s="2"/>
      <c r="J8" s="25">
        <v>175.51</v>
      </c>
      <c r="K8" s="25">
        <v>290.32100000000003</v>
      </c>
      <c r="L8" s="24">
        <f t="shared" si="0"/>
        <v>0.65415645832146341</v>
      </c>
      <c r="M8" s="2"/>
      <c r="N8" s="22" t="s">
        <v>14</v>
      </c>
      <c r="O8" s="9">
        <f t="shared" ref="O8:O18" si="9">B8/0.24</f>
        <v>122998.20416666666</v>
      </c>
      <c r="P8" s="9">
        <f t="shared" ref="P8:P18" si="10">C8/0.24</f>
        <v>121776.24583333333</v>
      </c>
      <c r="Q8" s="24">
        <f t="shared" si="1"/>
        <v>-9.9347656464767106E-3</v>
      </c>
      <c r="R8" s="24"/>
      <c r="S8" s="9">
        <f t="shared" si="2"/>
        <v>41572.126923076925</v>
      </c>
      <c r="T8" s="9">
        <f t="shared" si="3"/>
        <v>39240.800000000003</v>
      </c>
      <c r="U8" s="24">
        <f t="shared" si="4"/>
        <v>-5.6079087014015372E-2</v>
      </c>
      <c r="V8" s="24"/>
      <c r="W8" s="9">
        <f t="shared" si="5"/>
        <v>763.08695652173901</v>
      </c>
      <c r="X8" s="9">
        <f t="shared" si="5"/>
        <v>1262.2652173913043</v>
      </c>
      <c r="Y8" s="24">
        <f t="shared" si="6"/>
        <v>0.65415645832146341</v>
      </c>
      <c r="Z8" s="2"/>
      <c r="AA8" s="2"/>
      <c r="AB8" s="2"/>
      <c r="AC8" s="2"/>
      <c r="AD8" s="2"/>
    </row>
    <row r="9" spans="1:30" x14ac:dyDescent="0.3">
      <c r="A9" s="22" t="s">
        <v>15</v>
      </c>
      <c r="B9" s="23">
        <v>28759.698</v>
      </c>
      <c r="C9" s="23">
        <v>28445.47</v>
      </c>
      <c r="D9" s="24">
        <f t="shared" si="7"/>
        <v>-1.0925983993295032E-2</v>
      </c>
      <c r="E9" s="24"/>
      <c r="F9" s="25">
        <v>10640.831</v>
      </c>
      <c r="G9" s="25">
        <v>10156.210999999999</v>
      </c>
      <c r="H9" s="24">
        <f t="shared" si="8"/>
        <v>-4.5543435470406471E-2</v>
      </c>
      <c r="I9" s="2"/>
      <c r="J9" s="25">
        <v>160.00800000000001</v>
      </c>
      <c r="K9" s="25">
        <v>16.003</v>
      </c>
      <c r="L9" s="24">
        <f t="shared" si="0"/>
        <v>-0.89998625068746552</v>
      </c>
      <c r="M9" s="2"/>
      <c r="N9" s="22" t="s">
        <v>15</v>
      </c>
      <c r="O9" s="9">
        <f t="shared" si="9"/>
        <v>119832.07500000001</v>
      </c>
      <c r="P9" s="9">
        <f t="shared" si="10"/>
        <v>118522.79166666667</v>
      </c>
      <c r="Q9" s="24">
        <f t="shared" si="1"/>
        <v>-1.0925983993295117E-2</v>
      </c>
      <c r="R9" s="24"/>
      <c r="S9" s="9">
        <f t="shared" si="2"/>
        <v>40926.273076923077</v>
      </c>
      <c r="T9" s="9">
        <f t="shared" si="3"/>
        <v>39062.35</v>
      </c>
      <c r="U9" s="24">
        <f t="shared" si="4"/>
        <v>-4.5543435470406429E-2</v>
      </c>
      <c r="V9" s="24"/>
      <c r="W9" s="9">
        <f t="shared" si="5"/>
        <v>695.68695652173915</v>
      </c>
      <c r="X9" s="9">
        <f t="shared" si="5"/>
        <v>69.578260869565213</v>
      </c>
      <c r="Y9" s="24">
        <f t="shared" si="6"/>
        <v>-0.89998625068746574</v>
      </c>
      <c r="Z9" s="2"/>
      <c r="AA9" s="2"/>
      <c r="AB9" s="2"/>
      <c r="AC9" s="2"/>
      <c r="AD9" s="2"/>
    </row>
    <row r="10" spans="1:30" x14ac:dyDescent="0.3">
      <c r="A10" s="22" t="s">
        <v>16</v>
      </c>
      <c r="B10" s="23">
        <v>26607.132000000001</v>
      </c>
      <c r="C10" s="23">
        <v>27056.280999999999</v>
      </c>
      <c r="D10" s="24">
        <f t="shared" si="7"/>
        <v>1.6880774673497224E-2</v>
      </c>
      <c r="E10" s="24"/>
      <c r="F10" s="25">
        <v>9887.1990000000005</v>
      </c>
      <c r="G10" s="25">
        <v>10015.6</v>
      </c>
      <c r="H10" s="24">
        <f t="shared" si="8"/>
        <v>1.2986590034245274E-2</v>
      </c>
      <c r="I10" s="2"/>
      <c r="J10" s="25">
        <v>179.023</v>
      </c>
      <c r="K10" s="25">
        <v>232.125</v>
      </c>
      <c r="L10" s="24">
        <f t="shared" si="0"/>
        <v>0.29662110455081192</v>
      </c>
      <c r="M10" s="2"/>
      <c r="N10" s="22" t="s">
        <v>16</v>
      </c>
      <c r="O10" s="9">
        <f t="shared" si="9"/>
        <v>110863.05</v>
      </c>
      <c r="P10" s="9">
        <f t="shared" si="10"/>
        <v>112734.50416666667</v>
      </c>
      <c r="Q10" s="24">
        <f t="shared" si="1"/>
        <v>1.688077467349728E-2</v>
      </c>
      <c r="R10" s="24"/>
      <c r="S10" s="9">
        <f t="shared" si="2"/>
        <v>38027.688461538462</v>
      </c>
      <c r="T10" s="9">
        <f t="shared" si="3"/>
        <v>38521.538461538461</v>
      </c>
      <c r="U10" s="24">
        <f t="shared" si="4"/>
        <v>1.2986590034245252E-2</v>
      </c>
      <c r="V10" s="24"/>
      <c r="W10" s="9">
        <f t="shared" ref="W10:W18" si="11">J10/0.23</f>
        <v>778.36086956521729</v>
      </c>
      <c r="X10" s="9">
        <f t="shared" ref="X10:X18" si="12">K10/0.23</f>
        <v>1009.2391304347825</v>
      </c>
      <c r="Y10" s="24">
        <f t="shared" si="6"/>
        <v>0.29662110455081198</v>
      </c>
      <c r="Z10" s="2"/>
      <c r="AA10" s="2"/>
      <c r="AB10" s="2"/>
      <c r="AC10" s="2"/>
      <c r="AD10" s="2"/>
    </row>
    <row r="11" spans="1:30" x14ac:dyDescent="0.3">
      <c r="A11" s="22" t="s">
        <v>17</v>
      </c>
      <c r="B11" s="23">
        <v>27484.441999999999</v>
      </c>
      <c r="C11" s="23">
        <v>28686.255000000001</v>
      </c>
      <c r="D11" s="24">
        <f t="shared" si="7"/>
        <v>4.37270292771453E-2</v>
      </c>
      <c r="E11" s="24"/>
      <c r="F11" s="25">
        <v>11249.082</v>
      </c>
      <c r="G11" s="25">
        <v>10892.746999999999</v>
      </c>
      <c r="H11" s="24">
        <f t="shared" si="8"/>
        <v>-3.1676807049677562E-2</v>
      </c>
      <c r="I11" s="2"/>
      <c r="J11" s="25">
        <v>180.71899999999999</v>
      </c>
      <c r="K11" s="25">
        <v>166.46899999999999</v>
      </c>
      <c r="L11" s="24">
        <f t="shared" si="0"/>
        <v>-7.8851697939895646E-2</v>
      </c>
      <c r="M11" s="2"/>
      <c r="N11" s="22" t="s">
        <v>17</v>
      </c>
      <c r="O11" s="9">
        <f>B11/0.24</f>
        <v>114518.50833333333</v>
      </c>
      <c r="P11" s="9">
        <f>C11/0.24</f>
        <v>119526.06250000001</v>
      </c>
      <c r="Q11" s="24">
        <f t="shared" si="1"/>
        <v>4.3727029277145377E-2</v>
      </c>
      <c r="R11" s="24"/>
      <c r="S11" s="9">
        <f t="shared" si="2"/>
        <v>43265.7</v>
      </c>
      <c r="T11" s="9">
        <f t="shared" si="3"/>
        <v>41895.180769230763</v>
      </c>
      <c r="U11" s="24">
        <f t="shared" si="4"/>
        <v>-3.1676807049677555E-2</v>
      </c>
      <c r="V11" s="24"/>
      <c r="W11" s="9">
        <f t="shared" si="11"/>
        <v>785.73478260869558</v>
      </c>
      <c r="X11" s="9">
        <f t="shared" si="12"/>
        <v>723.7782608695652</v>
      </c>
      <c r="Y11" s="24">
        <f t="shared" si="6"/>
        <v>-7.8851697939895576E-2</v>
      </c>
      <c r="Z11" s="2"/>
      <c r="AA11" s="2"/>
      <c r="AB11" s="2"/>
      <c r="AC11" s="2"/>
      <c r="AD11" s="2"/>
    </row>
    <row r="12" spans="1:30" x14ac:dyDescent="0.3">
      <c r="A12" s="22" t="s">
        <v>18</v>
      </c>
      <c r="B12" s="23">
        <v>27918.241000000002</v>
      </c>
      <c r="C12" s="23">
        <v>27359.542000000001</v>
      </c>
      <c r="D12" s="24">
        <f t="shared" si="7"/>
        <v>-2.0011969951831868E-2</v>
      </c>
      <c r="E12" s="24"/>
      <c r="F12" s="25">
        <v>12451.852000000001</v>
      </c>
      <c r="G12" s="25">
        <v>10430.66</v>
      </c>
      <c r="H12" s="24">
        <f t="shared" si="8"/>
        <v>-0.16232059295275922</v>
      </c>
      <c r="I12" s="2"/>
      <c r="J12" s="25">
        <v>633.96600000000001</v>
      </c>
      <c r="K12" s="25">
        <v>375.33600000000001</v>
      </c>
      <c r="L12" s="24">
        <f t="shared" si="0"/>
        <v>-0.40795563169002752</v>
      </c>
      <c r="M12" s="2"/>
      <c r="N12" s="22" t="s">
        <v>18</v>
      </c>
      <c r="O12" s="9">
        <f t="shared" si="9"/>
        <v>116326.00416666668</v>
      </c>
      <c r="P12" s="9">
        <f t="shared" si="10"/>
        <v>113998.09166666667</v>
      </c>
      <c r="Q12" s="24">
        <f t="shared" si="1"/>
        <v>-2.0011969951831899E-2</v>
      </c>
      <c r="R12" s="24"/>
      <c r="S12" s="9">
        <f t="shared" si="2"/>
        <v>47891.738461538465</v>
      </c>
      <c r="T12" s="9">
        <f t="shared" si="3"/>
        <v>40117.923076923078</v>
      </c>
      <c r="U12" s="24">
        <f t="shared" si="4"/>
        <v>-0.16232059295275919</v>
      </c>
      <c r="V12" s="24"/>
      <c r="W12" s="9">
        <f t="shared" si="11"/>
        <v>2756.3739130434783</v>
      </c>
      <c r="X12" s="9">
        <f t="shared" si="12"/>
        <v>1631.895652173913</v>
      </c>
      <c r="Y12" s="24">
        <f t="shared" si="6"/>
        <v>-0.40795563169002752</v>
      </c>
      <c r="Z12" s="26"/>
      <c r="AA12" s="2"/>
      <c r="AB12" s="2"/>
      <c r="AC12" s="2"/>
      <c r="AD12" s="2"/>
    </row>
    <row r="13" spans="1:30" x14ac:dyDescent="0.3">
      <c r="A13" s="22" t="s">
        <v>19</v>
      </c>
      <c r="B13" s="23">
        <v>27210.784</v>
      </c>
      <c r="C13" s="23">
        <v>25798.998</v>
      </c>
      <c r="D13" s="24">
        <f t="shared" si="7"/>
        <v>-5.1883326845709413E-2</v>
      </c>
      <c r="E13" s="24"/>
      <c r="F13" s="25">
        <v>10702.620999999999</v>
      </c>
      <c r="G13" s="25">
        <v>8537.5370000000003</v>
      </c>
      <c r="H13" s="24">
        <f t="shared" si="8"/>
        <v>-0.20229474630560113</v>
      </c>
      <c r="I13" s="2"/>
      <c r="J13" s="25">
        <v>231.85499999999999</v>
      </c>
      <c r="K13" s="25">
        <v>0.71499999999999997</v>
      </c>
      <c r="L13" s="24">
        <f t="shared" si="0"/>
        <v>-0.99691617605831229</v>
      </c>
      <c r="M13" s="2"/>
      <c r="N13" s="22" t="s">
        <v>19</v>
      </c>
      <c r="O13" s="9">
        <f t="shared" si="9"/>
        <v>113378.26666666666</v>
      </c>
      <c r="P13" s="9">
        <f t="shared" si="10"/>
        <v>107495.825</v>
      </c>
      <c r="Q13" s="24">
        <f t="shared" si="1"/>
        <v>-5.1883326845709399E-2</v>
      </c>
      <c r="R13" s="24"/>
      <c r="S13" s="9">
        <f t="shared" si="2"/>
        <v>41163.926923076921</v>
      </c>
      <c r="T13" s="9">
        <f t="shared" si="3"/>
        <v>32836.68076923077</v>
      </c>
      <c r="U13" s="24">
        <f t="shared" si="4"/>
        <v>-0.20229474630560115</v>
      </c>
      <c r="V13" s="24"/>
      <c r="W13" s="9">
        <f t="shared" si="11"/>
        <v>1008.0652173913043</v>
      </c>
      <c r="X13" s="9">
        <f t="shared" si="12"/>
        <v>3.1086956521739126</v>
      </c>
      <c r="Y13" s="24">
        <f t="shared" si="6"/>
        <v>-0.99691617605831229</v>
      </c>
      <c r="Z13" s="26"/>
      <c r="AA13" s="2"/>
      <c r="AB13" s="2"/>
      <c r="AC13" s="2"/>
      <c r="AD13" s="2"/>
    </row>
    <row r="14" spans="1:30" x14ac:dyDescent="0.3">
      <c r="A14" s="22" t="s">
        <v>20</v>
      </c>
      <c r="B14" s="23">
        <v>25737</v>
      </c>
      <c r="C14" s="23">
        <v>25844.493999999999</v>
      </c>
      <c r="D14" s="24">
        <f t="shared" si="7"/>
        <v>4.176632863193021E-3</v>
      </c>
      <c r="E14" s="24"/>
      <c r="F14" s="25">
        <v>10158.777</v>
      </c>
      <c r="G14" s="25">
        <v>10258.708000000001</v>
      </c>
      <c r="H14" s="24">
        <f t="shared" si="8"/>
        <v>9.8369124551115246E-3</v>
      </c>
      <c r="I14" s="2"/>
      <c r="J14" s="25">
        <v>215.12700000000001</v>
      </c>
      <c r="K14" s="25">
        <v>238.374</v>
      </c>
      <c r="L14" s="24">
        <f t="shared" si="0"/>
        <v>0.10806174957118346</v>
      </c>
      <c r="M14" s="2"/>
      <c r="N14" s="22" t="s">
        <v>20</v>
      </c>
      <c r="O14" s="9">
        <f t="shared" si="9"/>
        <v>107237.5</v>
      </c>
      <c r="P14" s="9">
        <f t="shared" si="10"/>
        <v>107685.39166666666</v>
      </c>
      <c r="Q14" s="24">
        <f t="shared" si="1"/>
        <v>4.1766328631930322E-3</v>
      </c>
      <c r="R14" s="24"/>
      <c r="S14" s="9">
        <f t="shared" si="2"/>
        <v>39072.219230769231</v>
      </c>
      <c r="T14" s="9">
        <f t="shared" si="3"/>
        <v>39456.56923076923</v>
      </c>
      <c r="U14" s="24">
        <f t="shared" si="4"/>
        <v>9.8369124551114396E-3</v>
      </c>
      <c r="V14" s="24"/>
      <c r="W14" s="9">
        <f t="shared" si="11"/>
        <v>935.3347826086956</v>
      </c>
      <c r="X14" s="9">
        <f t="shared" si="12"/>
        <v>1036.4086956521739</v>
      </c>
      <c r="Y14" s="24">
        <f t="shared" si="6"/>
        <v>0.10806174957118363</v>
      </c>
      <c r="Z14" s="26"/>
      <c r="AA14" s="2"/>
      <c r="AB14" s="2"/>
      <c r="AC14" s="2"/>
      <c r="AD14" s="2"/>
    </row>
    <row r="15" spans="1:30" x14ac:dyDescent="0.3">
      <c r="A15" s="22" t="s">
        <v>21</v>
      </c>
      <c r="B15" s="23">
        <v>25528</v>
      </c>
      <c r="C15" s="23">
        <v>24854.258000000002</v>
      </c>
      <c r="D15" s="24">
        <f t="shared" si="7"/>
        <v>-2.6392275148856094E-2</v>
      </c>
      <c r="E15" s="24"/>
      <c r="F15" s="25">
        <v>10190.447</v>
      </c>
      <c r="G15" s="25">
        <v>9664.9930000000004</v>
      </c>
      <c r="H15" s="24">
        <f t="shared" si="8"/>
        <v>-5.1563390693263968E-2</v>
      </c>
      <c r="I15" s="2"/>
      <c r="J15" s="25">
        <v>187.91399999999999</v>
      </c>
      <c r="K15" s="25">
        <v>301.524</v>
      </c>
      <c r="L15" s="24">
        <f t="shared" si="0"/>
        <v>0.60458507615185686</v>
      </c>
      <c r="M15" s="2"/>
      <c r="N15" s="22" t="s">
        <v>21</v>
      </c>
      <c r="O15" s="9">
        <f t="shared" si="9"/>
        <v>106366.66666666667</v>
      </c>
      <c r="P15" s="9">
        <f t="shared" si="10"/>
        <v>103559.40833333334</v>
      </c>
      <c r="Q15" s="24">
        <f t="shared" si="1"/>
        <v>-2.6392275148856139E-2</v>
      </c>
      <c r="R15" s="24"/>
      <c r="S15" s="9">
        <f t="shared" si="2"/>
        <v>39194.026923076919</v>
      </c>
      <c r="T15" s="9">
        <f t="shared" si="3"/>
        <v>37173.050000000003</v>
      </c>
      <c r="U15" s="24">
        <f t="shared" si="4"/>
        <v>-5.1563390693263822E-2</v>
      </c>
      <c r="V15" s="24"/>
      <c r="W15" s="9">
        <f t="shared" si="11"/>
        <v>817.01739130434771</v>
      </c>
      <c r="X15" s="9">
        <f t="shared" si="12"/>
        <v>1310.9739130434782</v>
      </c>
      <c r="Y15" s="24">
        <f t="shared" si="6"/>
        <v>0.60458507615185686</v>
      </c>
      <c r="Z15" s="2"/>
      <c r="AA15" s="2"/>
      <c r="AB15" s="2"/>
      <c r="AC15" s="2"/>
      <c r="AD15" s="2"/>
    </row>
    <row r="16" spans="1:30" x14ac:dyDescent="0.3">
      <c r="A16" s="22" t="s">
        <v>22</v>
      </c>
      <c r="B16" s="23">
        <v>26471</v>
      </c>
      <c r="C16" s="23">
        <v>27695.05</v>
      </c>
      <c r="D16" s="24">
        <f t="shared" si="7"/>
        <v>4.6241169581806477E-2</v>
      </c>
      <c r="E16" s="24"/>
      <c r="F16" s="25">
        <v>10032.914000000001</v>
      </c>
      <c r="G16" s="25">
        <v>10037.880999999999</v>
      </c>
      <c r="H16" s="24">
        <f t="shared" si="8"/>
        <v>4.9507052487430213E-4</v>
      </c>
      <c r="I16" s="2"/>
      <c r="J16" s="25">
        <v>178.10900000000001</v>
      </c>
      <c r="K16" s="25">
        <v>46.639000000000003</v>
      </c>
      <c r="L16" s="24">
        <f t="shared" si="0"/>
        <v>-0.73814349639827292</v>
      </c>
      <c r="M16" s="2"/>
      <c r="N16" s="22" t="s">
        <v>22</v>
      </c>
      <c r="O16" s="9">
        <f t="shared" si="9"/>
        <v>110295.83333333334</v>
      </c>
      <c r="P16" s="9">
        <f t="shared" si="10"/>
        <v>115396.04166666667</v>
      </c>
      <c r="Q16" s="24">
        <f t="shared" si="1"/>
        <v>4.6241169581806456E-2</v>
      </c>
      <c r="R16" s="24"/>
      <c r="S16" s="9">
        <f t="shared" si="2"/>
        <v>38588.130769230767</v>
      </c>
      <c r="T16" s="9">
        <f t="shared" si="3"/>
        <v>38607.234615384608</v>
      </c>
      <c r="U16" s="24">
        <f t="shared" si="4"/>
        <v>4.9507052487429487E-4</v>
      </c>
      <c r="V16" s="24"/>
      <c r="W16" s="9">
        <f t="shared" si="11"/>
        <v>774.38695652173908</v>
      </c>
      <c r="X16" s="9">
        <f t="shared" si="12"/>
        <v>202.77826086956523</v>
      </c>
      <c r="Y16" s="24">
        <f t="shared" si="6"/>
        <v>-0.73814349639827292</v>
      </c>
      <c r="Z16" s="2"/>
      <c r="AA16" s="2"/>
      <c r="AB16" s="2"/>
      <c r="AC16" s="2"/>
      <c r="AD16" s="2"/>
    </row>
    <row r="17" spans="1:30" x14ac:dyDescent="0.3">
      <c r="A17" s="22" t="s">
        <v>23</v>
      </c>
      <c r="B17" s="23">
        <v>28309.769</v>
      </c>
      <c r="C17" s="23">
        <v>27199.909</v>
      </c>
      <c r="D17" s="24">
        <f>(C17-B17)/B17</f>
        <v>-3.9204134798839246E-2</v>
      </c>
      <c r="E17" s="24"/>
      <c r="F17" s="25">
        <v>10500.599</v>
      </c>
      <c r="G17" s="25">
        <v>10265.873</v>
      </c>
      <c r="H17" s="24">
        <f t="shared" si="8"/>
        <v>-2.2353581924231234E-2</v>
      </c>
      <c r="I17" s="2"/>
      <c r="J17" s="25">
        <v>208.27</v>
      </c>
      <c r="K17" s="25">
        <v>181.31700000000001</v>
      </c>
      <c r="L17" s="24">
        <f t="shared" si="0"/>
        <v>-0.12941374177750037</v>
      </c>
      <c r="M17" s="2"/>
      <c r="N17" s="22" t="s">
        <v>23</v>
      </c>
      <c r="O17" s="9">
        <f t="shared" si="9"/>
        <v>117957.37083333333</v>
      </c>
      <c r="P17" s="9">
        <f t="shared" si="10"/>
        <v>113332.95416666666</v>
      </c>
      <c r="Q17" s="24">
        <f t="shared" si="1"/>
        <v>-3.9204134798839267E-2</v>
      </c>
      <c r="R17" s="24"/>
      <c r="S17" s="9">
        <f>F17/0.26</f>
        <v>40386.919230769228</v>
      </c>
      <c r="T17" s="9">
        <f>G17/0.26</f>
        <v>39484.126923076918</v>
      </c>
      <c r="U17" s="24">
        <f t="shared" si="4"/>
        <v>-2.2353581924231255E-2</v>
      </c>
      <c r="V17" s="24"/>
      <c r="W17" s="9">
        <f>J17/0.23</f>
        <v>905.52173913043475</v>
      </c>
      <c r="X17" s="9">
        <f>K17/0.23</f>
        <v>788.3347826086956</v>
      </c>
      <c r="Y17" s="24">
        <f t="shared" si="6"/>
        <v>-0.1294137417775004</v>
      </c>
      <c r="Z17" s="2"/>
      <c r="AA17" s="2"/>
      <c r="AB17" s="2"/>
      <c r="AC17" s="2"/>
      <c r="AD17" s="2"/>
    </row>
    <row r="18" spans="1:30" x14ac:dyDescent="0.3">
      <c r="A18" s="22" t="s">
        <v>24</v>
      </c>
      <c r="B18" s="23">
        <v>30252.713</v>
      </c>
      <c r="C18" s="23">
        <v>29554.998</v>
      </c>
      <c r="D18" s="27">
        <f t="shared" si="7"/>
        <v>-2.3062890260453672E-2</v>
      </c>
      <c r="E18" s="2"/>
      <c r="F18" s="25">
        <v>10881.762000000001</v>
      </c>
      <c r="G18" s="25">
        <v>10158.825999999999</v>
      </c>
      <c r="H18" s="27">
        <f t="shared" si="8"/>
        <v>-6.6435564387458707E-2</v>
      </c>
      <c r="I18" s="2"/>
      <c r="J18" s="25">
        <v>296.899</v>
      </c>
      <c r="K18" s="25">
        <v>329.82</v>
      </c>
      <c r="L18" s="27">
        <f t="shared" si="0"/>
        <v>0.11088282547263545</v>
      </c>
      <c r="M18" s="2"/>
      <c r="N18" s="22" t="s">
        <v>24</v>
      </c>
      <c r="O18" s="9">
        <f t="shared" si="9"/>
        <v>126052.97083333334</v>
      </c>
      <c r="P18" s="9">
        <f t="shared" si="10"/>
        <v>123145.825</v>
      </c>
      <c r="Q18" s="27">
        <f t="shared" si="1"/>
        <v>-2.3062890260453741E-2</v>
      </c>
      <c r="R18" s="24"/>
      <c r="S18" s="28">
        <f t="shared" si="2"/>
        <v>41852.93076923077</v>
      </c>
      <c r="T18" s="28">
        <f t="shared" si="3"/>
        <v>39072.407692307686</v>
      </c>
      <c r="U18" s="27">
        <f t="shared" si="4"/>
        <v>-6.6435564387458734E-2</v>
      </c>
      <c r="V18" s="24"/>
      <c r="W18" s="28">
        <f t="shared" si="11"/>
        <v>1290.8652173913042</v>
      </c>
      <c r="X18" s="28">
        <f t="shared" si="12"/>
        <v>1434</v>
      </c>
      <c r="Y18" s="27">
        <f t="shared" si="6"/>
        <v>0.11088282547263559</v>
      </c>
      <c r="Z18" s="2"/>
      <c r="AA18" s="2"/>
      <c r="AB18" s="2"/>
      <c r="AC18" s="2"/>
      <c r="AD18" s="2"/>
    </row>
    <row r="19" spans="1:30" x14ac:dyDescent="0.3">
      <c r="A19" s="29"/>
      <c r="B19" s="7" t="s">
        <v>25</v>
      </c>
      <c r="C19" s="7"/>
      <c r="D19" s="24"/>
      <c r="E19" s="2"/>
      <c r="F19" s="7" t="s">
        <v>26</v>
      </c>
      <c r="G19" s="7"/>
      <c r="H19" s="24"/>
      <c r="I19" s="2"/>
      <c r="J19" s="7" t="s">
        <v>27</v>
      </c>
      <c r="K19" s="7"/>
      <c r="L19" s="24"/>
      <c r="M19" s="2"/>
      <c r="N19" s="29"/>
      <c r="O19" s="30" t="s">
        <v>25</v>
      </c>
      <c r="P19" s="30"/>
      <c r="Q19" s="24"/>
      <c r="R19" s="24"/>
      <c r="S19" s="9" t="s">
        <v>28</v>
      </c>
      <c r="T19" s="9"/>
      <c r="U19" s="24"/>
      <c r="V19" s="24"/>
      <c r="W19" s="9" t="s">
        <v>27</v>
      </c>
      <c r="X19" s="9"/>
      <c r="Y19" s="24"/>
      <c r="Z19" s="2"/>
      <c r="AA19" s="2"/>
      <c r="AB19" s="2"/>
      <c r="AC19" s="2"/>
      <c r="AD19" s="2"/>
    </row>
    <row r="20" spans="1:30" x14ac:dyDescent="0.3">
      <c r="A20" s="22" t="s">
        <v>29</v>
      </c>
      <c r="B20" s="31" t="s">
        <v>77</v>
      </c>
      <c r="C20" s="31" t="s">
        <v>76</v>
      </c>
      <c r="D20" s="24" t="s">
        <v>30</v>
      </c>
      <c r="E20" s="2"/>
      <c r="F20" s="32" t="str">
        <f>B20</f>
        <v>FY 22</v>
      </c>
      <c r="G20" s="32" t="str">
        <f>C20</f>
        <v>FY23</v>
      </c>
      <c r="H20" s="24" t="s">
        <v>30</v>
      </c>
      <c r="I20" s="7"/>
      <c r="J20" s="32" t="str">
        <f>F20</f>
        <v>FY 22</v>
      </c>
      <c r="K20" s="32" t="str">
        <f>G20</f>
        <v>FY23</v>
      </c>
      <c r="L20" s="7" t="s">
        <v>31</v>
      </c>
      <c r="M20" s="7"/>
      <c r="N20" s="22" t="s">
        <v>29</v>
      </c>
      <c r="O20" s="32" t="str">
        <f>B20</f>
        <v>FY 22</v>
      </c>
      <c r="P20" s="32" t="str">
        <f>C20</f>
        <v>FY23</v>
      </c>
      <c r="Q20" s="24" t="s">
        <v>32</v>
      </c>
      <c r="R20" s="24"/>
      <c r="S20" s="32" t="str">
        <f>B20</f>
        <v>FY 22</v>
      </c>
      <c r="T20" s="32" t="str">
        <f>C20</f>
        <v>FY23</v>
      </c>
      <c r="U20" s="24" t="s">
        <v>32</v>
      </c>
      <c r="V20" s="24"/>
      <c r="W20" s="11" t="str">
        <f>B20</f>
        <v>FY 22</v>
      </c>
      <c r="X20" s="11" t="str">
        <f>C20</f>
        <v>FY23</v>
      </c>
      <c r="Y20" s="24" t="s">
        <v>33</v>
      </c>
      <c r="Z20" s="2"/>
      <c r="AA20" s="2"/>
      <c r="AB20" s="2"/>
      <c r="AC20" s="2"/>
      <c r="AD20" s="2"/>
    </row>
    <row r="21" spans="1:30" x14ac:dyDescent="0.3">
      <c r="A21" s="22" t="s">
        <v>34</v>
      </c>
      <c r="B21" s="7">
        <f>SUM(B7:B17)</f>
        <v>301157.63500000001</v>
      </c>
      <c r="C21" s="7">
        <f>SUM(C7:C17)</f>
        <v>299854.75199999998</v>
      </c>
      <c r="D21" s="24">
        <f>(C21-B21)/B21</f>
        <v>-4.326249274736238E-3</v>
      </c>
      <c r="E21" s="33"/>
      <c r="F21" s="7">
        <f>SUM(F7:F17)</f>
        <v>117251.57500000001</v>
      </c>
      <c r="G21" s="7">
        <f>SUM(G7:G17)</f>
        <v>110247.40299999999</v>
      </c>
      <c r="H21" s="24">
        <f>(G21-F21)/F21</f>
        <v>-5.9736272199328831E-2</v>
      </c>
      <c r="I21" s="2"/>
      <c r="J21" s="7">
        <f>SUM(J7:J17)</f>
        <v>2511.0699999999997</v>
      </c>
      <c r="K21" s="7">
        <f>SUM(K7:K17)</f>
        <v>1911.3659999999998</v>
      </c>
      <c r="L21" s="24">
        <f>(K21-J21)/J21</f>
        <v>-0.23882408694301632</v>
      </c>
      <c r="M21" s="2"/>
      <c r="N21" s="22" t="str">
        <f>A21</f>
        <v>FYTD</v>
      </c>
      <c r="O21" s="26">
        <f>SUM(O7:O17)</f>
        <v>1254823.4791666667</v>
      </c>
      <c r="P21" s="9">
        <f>SUM(P7:P17)</f>
        <v>1249394.7999999998</v>
      </c>
      <c r="Q21" s="24">
        <f>(P21-O21)/O21</f>
        <v>-4.3262492747363464E-3</v>
      </c>
      <c r="R21" s="24"/>
      <c r="S21" s="34">
        <f>SUM(S7:S17)</f>
        <v>450967.59615384619</v>
      </c>
      <c r="T21" s="9">
        <f>SUM(T7:T17)</f>
        <v>424028.47307692305</v>
      </c>
      <c r="U21" s="24">
        <f>(T21-S21)/S21</f>
        <v>-5.973627219932879E-2</v>
      </c>
      <c r="V21" s="24"/>
      <c r="W21" s="34">
        <f>SUM(W7:W17)</f>
        <v>10917.69565217391</v>
      </c>
      <c r="X21" s="9">
        <f>SUM(X7:X17)</f>
        <v>8310.2869565217388</v>
      </c>
      <c r="Y21" s="24">
        <f>(X21-W21)/W21</f>
        <v>-0.23882408694301616</v>
      </c>
      <c r="Z21" s="2"/>
      <c r="AA21" s="2"/>
      <c r="AB21" s="2"/>
      <c r="AC21" s="2"/>
      <c r="AD21" s="2"/>
    </row>
    <row r="22" spans="1:30" x14ac:dyDescent="0.3">
      <c r="A22" s="22" t="s">
        <v>35</v>
      </c>
      <c r="B22" s="24">
        <f>B21/B23</f>
        <v>0.90871524325486663</v>
      </c>
      <c r="C22" s="24">
        <f>C21/C23</f>
        <v>0.91027892161661872</v>
      </c>
      <c r="D22" s="35" t="s">
        <v>36</v>
      </c>
      <c r="E22" s="2"/>
      <c r="F22" s="24">
        <f>F21/F23</f>
        <v>0.91507470066123386</v>
      </c>
      <c r="G22" s="24">
        <f>G21/G23</f>
        <v>0.91562873379250165</v>
      </c>
      <c r="H22" s="35" t="s">
        <v>36</v>
      </c>
      <c r="I22" s="2"/>
      <c r="J22" s="24">
        <f>J21/J23</f>
        <v>0.89426557059568679</v>
      </c>
      <c r="K22" s="24">
        <f>K21/K23</f>
        <v>0.85283684620553579</v>
      </c>
      <c r="L22" s="36" t="s">
        <v>36</v>
      </c>
      <c r="M22" s="2"/>
      <c r="N22" s="22" t="str">
        <f>A22</f>
        <v>% total</v>
      </c>
      <c r="O22" s="24">
        <f>O21/O23</f>
        <v>0.90871524325486652</v>
      </c>
      <c r="P22" s="24">
        <f>P21/P23</f>
        <v>0.91027892161661883</v>
      </c>
      <c r="Q22" s="37" t="s">
        <v>36</v>
      </c>
      <c r="R22" s="2"/>
      <c r="S22" s="24">
        <f>S21/S23</f>
        <v>0.91507470066123386</v>
      </c>
      <c r="T22" s="24">
        <f>T21/T23</f>
        <v>0.91562873379250176</v>
      </c>
      <c r="U22" s="36" t="s">
        <v>36</v>
      </c>
      <c r="V22" s="2"/>
      <c r="W22" s="24">
        <f>W21/W23</f>
        <v>0.89426557059568668</v>
      </c>
      <c r="X22" s="24">
        <f>X21/X23</f>
        <v>0.85283684620553579</v>
      </c>
      <c r="Y22" s="36" t="s">
        <v>36</v>
      </c>
      <c r="Z22" s="2"/>
      <c r="AA22" s="2"/>
      <c r="AB22" s="2"/>
      <c r="AC22" s="2"/>
      <c r="AD22" s="2"/>
    </row>
    <row r="23" spans="1:30" x14ac:dyDescent="0.3">
      <c r="A23" s="22" t="s">
        <v>37</v>
      </c>
      <c r="B23" s="7">
        <f>SUM(B7:B18)</f>
        <v>331410.348</v>
      </c>
      <c r="C23" s="7">
        <f>SUM(C7:C18)</f>
        <v>329409.75</v>
      </c>
      <c r="D23" s="24">
        <f>(C23-B23)/B23</f>
        <v>-6.0366189893382516E-3</v>
      </c>
      <c r="E23" s="33"/>
      <c r="F23" s="7">
        <f>SUM(F7:F18)</f>
        <v>128133.33700000001</v>
      </c>
      <c r="G23" s="7">
        <f>SUM(G7:G18)</f>
        <v>120406.22899999999</v>
      </c>
      <c r="H23" s="24">
        <f>(G23-F23)/F23</f>
        <v>-6.0305211593763619E-2</v>
      </c>
      <c r="I23" s="33"/>
      <c r="J23" s="7">
        <f>SUM(J7:J18)</f>
        <v>2807.9689999999996</v>
      </c>
      <c r="K23" s="7">
        <f>SUM(K7:K18)</f>
        <v>2241.1859999999997</v>
      </c>
      <c r="L23" s="24">
        <f>(K23-J23)/J23</f>
        <v>-0.20184802610000324</v>
      </c>
      <c r="M23" s="2"/>
      <c r="N23" s="22" t="str">
        <f>A23</f>
        <v>FYTotal</v>
      </c>
      <c r="O23" s="9">
        <f>SUM(O7:O18)</f>
        <v>1380876.4500000002</v>
      </c>
      <c r="P23" s="9">
        <f>SUM(P7:P18)</f>
        <v>1372540.6249999998</v>
      </c>
      <c r="Q23" s="24">
        <f>(P23-O23)/O23</f>
        <v>-6.0366189893385595E-3</v>
      </c>
      <c r="R23" s="24"/>
      <c r="S23" s="9">
        <f>SUM(S7:S18)</f>
        <v>492820.52692307695</v>
      </c>
      <c r="T23" s="9">
        <f>SUM(T7:T18)</f>
        <v>463100.88076923072</v>
      </c>
      <c r="U23" s="24">
        <f>(T23-S23)/S23</f>
        <v>-6.0305211593763612E-2</v>
      </c>
      <c r="V23" s="24"/>
      <c r="W23" s="9">
        <f>SUM(W7:W18)</f>
        <v>12208.560869565215</v>
      </c>
      <c r="X23" s="9">
        <f>SUM(X7:X18)</f>
        <v>9744.2869565217388</v>
      </c>
      <c r="Y23" s="24">
        <f>(X23-W23)/W23</f>
        <v>-0.20184802610000313</v>
      </c>
      <c r="Z23" s="2"/>
      <c r="AA23" s="2"/>
      <c r="AB23" s="2"/>
      <c r="AC23" s="2"/>
      <c r="AD23" s="2"/>
    </row>
    <row r="24" spans="1:30" x14ac:dyDescent="0.3">
      <c r="A24" s="22"/>
      <c r="B24" s="9"/>
      <c r="C24" s="38"/>
      <c r="D24" s="39"/>
      <c r="E24" s="2"/>
      <c r="F24" s="9"/>
      <c r="G24" s="38"/>
      <c r="H24" s="39"/>
      <c r="I24" s="2"/>
      <c r="J24" s="9"/>
      <c r="K24" s="38"/>
      <c r="L24" s="39"/>
      <c r="M24" s="2"/>
      <c r="N24" s="22"/>
      <c r="O24" s="40"/>
      <c r="P24" s="9"/>
      <c r="Q24" s="9"/>
      <c r="R24" s="9"/>
      <c r="S24" s="9"/>
      <c r="T24" s="9"/>
      <c r="U24" s="9"/>
      <c r="V24" s="9"/>
      <c r="W24" s="9"/>
      <c r="X24" s="34"/>
      <c r="Y24" s="41"/>
      <c r="Z24" s="39"/>
      <c r="AA24" s="2"/>
      <c r="AB24" s="2"/>
      <c r="AC24" s="2"/>
      <c r="AD24" s="2"/>
    </row>
    <row r="25" spans="1:30" x14ac:dyDescent="0.3">
      <c r="A25" s="36"/>
      <c r="B25" s="15"/>
      <c r="C25" s="16" t="s">
        <v>38</v>
      </c>
      <c r="D25" s="42"/>
      <c r="E25" s="2"/>
      <c r="F25" s="43"/>
      <c r="G25" s="16" t="s">
        <v>39</v>
      </c>
      <c r="H25" s="44"/>
      <c r="I25" s="45"/>
      <c r="J25" s="43"/>
      <c r="K25" s="16" t="str">
        <f>C6&amp; " Distribution "</f>
        <v xml:space="preserve">FY24 Distribution </v>
      </c>
      <c r="L25" s="44"/>
      <c r="M25" s="2"/>
      <c r="N25" s="22"/>
      <c r="O25" s="43"/>
      <c r="P25" s="16" t="str">
        <f>C25</f>
        <v>Interstate</v>
      </c>
      <c r="Q25" s="42"/>
      <c r="R25" s="2"/>
      <c r="S25" s="43"/>
      <c r="T25" s="46" t="str">
        <f>G25</f>
        <v xml:space="preserve">      Trip Permits</v>
      </c>
      <c r="U25" s="42" t="s">
        <v>40</v>
      </c>
      <c r="V25" s="39"/>
      <c r="W25" s="43"/>
      <c r="X25" s="16" t="str">
        <f>G45</f>
        <v>Total Refunds</v>
      </c>
      <c r="Y25" s="14"/>
      <c r="Z25" s="2"/>
      <c r="AA25" s="2"/>
      <c r="AB25" s="2"/>
      <c r="AC25" s="2"/>
      <c r="AD25" s="2"/>
    </row>
    <row r="26" spans="1:30" x14ac:dyDescent="0.3">
      <c r="A26" s="17" t="s">
        <v>11</v>
      </c>
      <c r="B26" s="21" t="str">
        <f>B6</f>
        <v>FY23</v>
      </c>
      <c r="C26" s="17" t="str">
        <f>C6</f>
        <v>FY24</v>
      </c>
      <c r="D26" s="20" t="str">
        <f>D6</f>
        <v>% chg</v>
      </c>
      <c r="E26" s="2"/>
      <c r="F26" s="21" t="str">
        <f>B6</f>
        <v>FY23</v>
      </c>
      <c r="G26" s="17" t="str">
        <f>C6</f>
        <v>FY24</v>
      </c>
      <c r="H26" s="20" t="str">
        <f>H6</f>
        <v>% chg</v>
      </c>
      <c r="I26" s="3"/>
      <c r="J26" s="21" t="s">
        <v>41</v>
      </c>
      <c r="K26" s="17" t="s">
        <v>42</v>
      </c>
      <c r="L26" s="20" t="s">
        <v>43</v>
      </c>
      <c r="M26" s="2"/>
      <c r="N26" s="17" t="s">
        <v>11</v>
      </c>
      <c r="O26" s="47" t="str">
        <f>B6</f>
        <v>FY23</v>
      </c>
      <c r="P26" s="17" t="str">
        <f>C6</f>
        <v>FY24</v>
      </c>
      <c r="Q26" s="20" t="str">
        <f>Q6</f>
        <v>% chg</v>
      </c>
      <c r="R26" s="2"/>
      <c r="S26" s="47" t="str">
        <f>B6</f>
        <v>FY23</v>
      </c>
      <c r="T26" s="17" t="str">
        <f>C6</f>
        <v>FY24</v>
      </c>
      <c r="U26" s="20" t="str">
        <f>U6</f>
        <v>% chg</v>
      </c>
      <c r="V26" s="3"/>
      <c r="W26" s="21" t="str">
        <f>B6</f>
        <v>FY23</v>
      </c>
      <c r="X26" s="17" t="str">
        <f>C6</f>
        <v>FY24</v>
      </c>
      <c r="Y26" s="20" t="str">
        <f>Y6</f>
        <v>% chg</v>
      </c>
      <c r="Z26" s="2"/>
      <c r="AA26" s="2"/>
      <c r="AB26" s="2"/>
      <c r="AC26" s="2"/>
      <c r="AD26" s="2"/>
    </row>
    <row r="27" spans="1:30" x14ac:dyDescent="0.3">
      <c r="A27" s="22" t="s">
        <v>13</v>
      </c>
      <c r="B27" s="48">
        <v>0</v>
      </c>
      <c r="C27" s="48">
        <v>0</v>
      </c>
      <c r="D27" s="24" t="e">
        <f t="shared" ref="D27:D38" si="13">(C27-B27)/B27</f>
        <v>#DIV/0!</v>
      </c>
      <c r="E27" s="2"/>
      <c r="F27" s="49">
        <v>55.390999999999998</v>
      </c>
      <c r="G27" s="49">
        <v>26.829000000000001</v>
      </c>
      <c r="H27" s="24">
        <f t="shared" ref="H27:H38" si="14">(G27-F27)/F27</f>
        <v>-0.51564333555992847</v>
      </c>
      <c r="I27" s="33"/>
      <c r="J27" s="49">
        <v>0</v>
      </c>
      <c r="K27" s="49">
        <v>24624.886999999999</v>
      </c>
      <c r="L27" s="49">
        <v>12953.306</v>
      </c>
      <c r="M27" s="2"/>
      <c r="N27" s="22" t="s">
        <v>13</v>
      </c>
      <c r="O27" s="9">
        <f>B27/0.26</f>
        <v>0</v>
      </c>
      <c r="P27" s="9">
        <f>C27/0.26</f>
        <v>0</v>
      </c>
      <c r="Q27" s="24" t="e">
        <f t="shared" ref="Q27:Q38" si="15">(P27-O27)/O27</f>
        <v>#DIV/0!</v>
      </c>
      <c r="R27" s="2"/>
      <c r="S27" s="9">
        <f t="shared" ref="S27:T38" si="16">F27/0.013</f>
        <v>4260.8461538461543</v>
      </c>
      <c r="T27" s="9">
        <f t="shared" si="16"/>
        <v>2063.7692307692309</v>
      </c>
      <c r="U27" s="24">
        <f t="shared" ref="U27:U38" si="17">(T27-S27)/S27</f>
        <v>-0.51564333555992847</v>
      </c>
      <c r="V27" s="24"/>
      <c r="W27" s="9">
        <f>(B69/0.24)+(F69/0.26)+(J69/0.23)</f>
        <v>285.14583333333337</v>
      </c>
      <c r="X27" s="9">
        <f>(C69/0.24)+(G69/0.26)+(K69/0.23)</f>
        <v>2266.3256410256413</v>
      </c>
      <c r="Y27" s="24">
        <f t="shared" ref="Y27:Y38" si="18">(X27-W27)/W27</f>
        <v>6.9479528581303986</v>
      </c>
      <c r="Z27" s="2"/>
      <c r="AA27" s="2"/>
      <c r="AB27" s="2"/>
      <c r="AC27" s="2"/>
      <c r="AD27" s="2"/>
    </row>
    <row r="28" spans="1:30" x14ac:dyDescent="0.3">
      <c r="A28" s="22" t="s">
        <v>14</v>
      </c>
      <c r="B28" s="48">
        <v>0</v>
      </c>
      <c r="C28" s="48">
        <v>0</v>
      </c>
      <c r="D28" s="24" t="e">
        <f t="shared" si="13"/>
        <v>#DIV/0!</v>
      </c>
      <c r="E28" s="2"/>
      <c r="F28" s="49">
        <v>27.51</v>
      </c>
      <c r="G28" s="49">
        <v>24.036999999999999</v>
      </c>
      <c r="H28" s="24">
        <f t="shared" si="14"/>
        <v>-0.12624500181752099</v>
      </c>
      <c r="I28" s="33"/>
      <c r="J28" s="49">
        <v>0</v>
      </c>
      <c r="K28" s="49">
        <v>25918.289000000001</v>
      </c>
      <c r="L28" s="49">
        <v>13626.630999999999</v>
      </c>
      <c r="M28" s="2"/>
      <c r="N28" s="22" t="s">
        <v>14</v>
      </c>
      <c r="O28" s="9">
        <f t="shared" ref="O28:P39" si="19">B28/0.26</f>
        <v>0</v>
      </c>
      <c r="P28" s="9">
        <f>C28/0.26</f>
        <v>0</v>
      </c>
      <c r="Q28" s="24" t="e">
        <f t="shared" si="15"/>
        <v>#DIV/0!</v>
      </c>
      <c r="R28" s="2"/>
      <c r="S28" s="9">
        <f t="shared" si="16"/>
        <v>2116.1538461538462</v>
      </c>
      <c r="T28" s="9">
        <f t="shared" si="16"/>
        <v>1849</v>
      </c>
      <c r="U28" s="24">
        <f t="shared" si="17"/>
        <v>-0.12624500181752091</v>
      </c>
      <c r="V28" s="24"/>
      <c r="W28" s="9">
        <f t="shared" ref="W28:X37" si="20">(B70/0.24)+(F70/0.26)+(J70/0.23)</f>
        <v>521.14006410256411</v>
      </c>
      <c r="X28" s="9">
        <f t="shared" si="20"/>
        <v>2988.0224358974356</v>
      </c>
      <c r="Y28" s="24">
        <f t="shared" si="18"/>
        <v>4.7336264120145852</v>
      </c>
      <c r="Z28" s="3"/>
      <c r="AA28" s="2"/>
      <c r="AB28" s="2"/>
      <c r="AC28" s="2"/>
      <c r="AD28" s="2"/>
    </row>
    <row r="29" spans="1:30" x14ac:dyDescent="0.3">
      <c r="A29" s="22" t="s">
        <v>15</v>
      </c>
      <c r="B29" s="48">
        <v>1931.7929999999999</v>
      </c>
      <c r="C29" s="48">
        <v>2314.165</v>
      </c>
      <c r="D29" s="24">
        <f t="shared" si="13"/>
        <v>0.19793632133463579</v>
      </c>
      <c r="E29" s="2"/>
      <c r="F29" s="49">
        <v>28.675999999999998</v>
      </c>
      <c r="G29" s="49">
        <v>23.902999999999999</v>
      </c>
      <c r="H29" s="24">
        <f t="shared" si="14"/>
        <v>-0.16644580834147021</v>
      </c>
      <c r="I29" s="33"/>
      <c r="J29" s="49">
        <v>0</v>
      </c>
      <c r="K29" s="49">
        <v>27140.769</v>
      </c>
      <c r="L29" s="49">
        <v>13717.364</v>
      </c>
      <c r="M29" s="2"/>
      <c r="N29" s="22" t="s">
        <v>15</v>
      </c>
      <c r="O29" s="9">
        <f t="shared" si="19"/>
        <v>7429.9730769230764</v>
      </c>
      <c r="P29" s="9">
        <f t="shared" si="19"/>
        <v>8900.6346153846152</v>
      </c>
      <c r="Q29" s="24">
        <f t="shared" si="15"/>
        <v>0.19793632133463582</v>
      </c>
      <c r="R29" s="2"/>
      <c r="S29" s="9">
        <f t="shared" si="16"/>
        <v>2205.8461538461538</v>
      </c>
      <c r="T29" s="9">
        <f t="shared" si="16"/>
        <v>1838.6923076923076</v>
      </c>
      <c r="U29" s="24">
        <f t="shared" si="17"/>
        <v>-0.16644580834147024</v>
      </c>
      <c r="V29" s="24"/>
      <c r="W29" s="9">
        <f t="shared" si="20"/>
        <v>3301.0089743589742</v>
      </c>
      <c r="X29" s="9">
        <f>(C71/0.24)+(G71/0.26)+(K71/0.23)</f>
        <v>576.9891025641025</v>
      </c>
      <c r="Y29" s="24">
        <f t="shared" si="18"/>
        <v>-0.82520825994538571</v>
      </c>
      <c r="Z29" s="9"/>
      <c r="AA29" s="2"/>
      <c r="AB29" s="2"/>
      <c r="AC29" s="2"/>
      <c r="AD29" s="2"/>
    </row>
    <row r="30" spans="1:30" x14ac:dyDescent="0.3">
      <c r="A30" s="22" t="s">
        <v>16</v>
      </c>
      <c r="B30" s="48">
        <v>0</v>
      </c>
      <c r="C30" s="48">
        <v>0</v>
      </c>
      <c r="D30" s="24" t="e">
        <f t="shared" si="13"/>
        <v>#DIV/0!</v>
      </c>
      <c r="E30" s="2"/>
      <c r="F30" s="49">
        <v>27.16</v>
      </c>
      <c r="G30" s="49">
        <v>21.800999999999998</v>
      </c>
      <c r="H30" s="24">
        <f t="shared" si="14"/>
        <v>-0.19731222385861569</v>
      </c>
      <c r="I30" s="33"/>
      <c r="J30" s="49">
        <v>0</v>
      </c>
      <c r="K30" s="49">
        <v>24742.215</v>
      </c>
      <c r="L30" s="49">
        <v>12182.052</v>
      </c>
      <c r="M30" s="2"/>
      <c r="N30" s="22" t="s">
        <v>16</v>
      </c>
      <c r="O30" s="9">
        <f t="shared" si="19"/>
        <v>0</v>
      </c>
      <c r="P30" s="9">
        <f t="shared" si="19"/>
        <v>0</v>
      </c>
      <c r="Q30" s="24" t="e">
        <f t="shared" si="15"/>
        <v>#DIV/0!</v>
      </c>
      <c r="R30" s="2"/>
      <c r="S30" s="9">
        <f t="shared" si="16"/>
        <v>2089.2307692307695</v>
      </c>
      <c r="T30" s="9">
        <f t="shared" si="16"/>
        <v>1677</v>
      </c>
      <c r="U30" s="24">
        <f t="shared" si="17"/>
        <v>-0.19731222385861572</v>
      </c>
      <c r="V30" s="24"/>
      <c r="W30" s="9">
        <f t="shared" ref="W30:X33" si="21">(B72/0.24)+(F72/0.26)+(J72/0.23)</f>
        <v>2286.4419871794871</v>
      </c>
      <c r="X30" s="9">
        <f>(C72/0.24)+(G72/0.26)+(K72/0.23)</f>
        <v>541.3384615384615</v>
      </c>
      <c r="Y30" s="24">
        <f t="shared" si="18"/>
        <v>-0.7632398002775278</v>
      </c>
      <c r="Z30" s="9"/>
      <c r="AA30" s="2"/>
      <c r="AB30" s="2"/>
      <c r="AC30" s="2"/>
      <c r="AD30" s="2"/>
    </row>
    <row r="31" spans="1:30" x14ac:dyDescent="0.3">
      <c r="A31" s="22" t="s">
        <v>17</v>
      </c>
      <c r="B31" s="48">
        <v>0</v>
      </c>
      <c r="C31" s="48">
        <v>0</v>
      </c>
      <c r="D31" s="24" t="e">
        <f t="shared" si="13"/>
        <v>#DIV/0!</v>
      </c>
      <c r="E31" s="2"/>
      <c r="F31" s="49">
        <v>25.236999999999998</v>
      </c>
      <c r="G31" s="49">
        <v>24.657</v>
      </c>
      <c r="H31" s="24">
        <f t="shared" si="14"/>
        <v>-2.2982129413163147E-2</v>
      </c>
      <c r="I31" s="33"/>
      <c r="J31" s="49">
        <v>0</v>
      </c>
      <c r="K31" s="49">
        <v>26092.035</v>
      </c>
      <c r="L31" s="49">
        <v>13096.620999999999</v>
      </c>
      <c r="M31" s="2"/>
      <c r="N31" s="22" t="s">
        <v>17</v>
      </c>
      <c r="O31" s="9">
        <f t="shared" si="19"/>
        <v>0</v>
      </c>
      <c r="P31" s="9">
        <f t="shared" si="19"/>
        <v>0</v>
      </c>
      <c r="Q31" s="24" t="e">
        <f t="shared" si="15"/>
        <v>#DIV/0!</v>
      </c>
      <c r="R31" s="2"/>
      <c r="S31" s="9">
        <f t="shared" si="16"/>
        <v>1941.3076923076924</v>
      </c>
      <c r="T31" s="9">
        <f>G31/0.013</f>
        <v>1896.6923076923078</v>
      </c>
      <c r="U31" s="24">
        <f t="shared" si="17"/>
        <v>-2.2982129413163167E-2</v>
      </c>
      <c r="V31" s="24"/>
      <c r="W31" s="9">
        <f t="shared" si="21"/>
        <v>376.56362876254184</v>
      </c>
      <c r="X31" s="9">
        <f>(C73/0.24)+(G73/0.26)+(K73/0.23)</f>
        <v>1947.6451923076922</v>
      </c>
      <c r="Y31" s="24">
        <f t="shared" si="18"/>
        <v>4.1721543015399991</v>
      </c>
      <c r="Z31" s="9"/>
      <c r="AA31" s="2"/>
      <c r="AB31" s="2"/>
      <c r="AC31" s="2"/>
      <c r="AD31" s="2"/>
    </row>
    <row r="32" spans="1:30" x14ac:dyDescent="0.3">
      <c r="A32" s="22" t="s">
        <v>18</v>
      </c>
      <c r="B32" s="48">
        <v>1551.6780000000001</v>
      </c>
      <c r="C32" s="48">
        <v>2137.2730000000001</v>
      </c>
      <c r="D32" s="24">
        <f t="shared" si="13"/>
        <v>0.37739466564583629</v>
      </c>
      <c r="E32" s="2"/>
      <c r="F32" s="49">
        <v>22.922000000000001</v>
      </c>
      <c r="G32" s="49">
        <v>26.041</v>
      </c>
      <c r="H32" s="24">
        <f t="shared" si="14"/>
        <v>0.13607015094668876</v>
      </c>
      <c r="I32" s="33"/>
      <c r="J32" s="49">
        <v>0</v>
      </c>
      <c r="K32" s="49">
        <v>26774.717000000001</v>
      </c>
      <c r="L32" s="49">
        <v>14300.138999999999</v>
      </c>
      <c r="M32" s="2"/>
      <c r="N32" s="22" t="s">
        <v>18</v>
      </c>
      <c r="O32" s="9">
        <f t="shared" si="19"/>
        <v>5967.9923076923078</v>
      </c>
      <c r="P32" s="9">
        <f t="shared" si="19"/>
        <v>8220.2807692307688</v>
      </c>
      <c r="Q32" s="24">
        <f t="shared" si="15"/>
        <v>0.37739466564583624</v>
      </c>
      <c r="R32" s="2"/>
      <c r="S32" s="9">
        <f t="shared" si="16"/>
        <v>1763.2307692307693</v>
      </c>
      <c r="T32" s="9">
        <f t="shared" si="16"/>
        <v>2003.1538461538462</v>
      </c>
      <c r="U32" s="24">
        <f t="shared" si="17"/>
        <v>0.13607015094668876</v>
      </c>
      <c r="V32" s="24"/>
      <c r="W32" s="9">
        <f t="shared" si="21"/>
        <v>623.92403846153843</v>
      </c>
      <c r="X32" s="9">
        <f>(C74/0.24)+(G74/0.26)+(K74/0.23)</f>
        <v>408.44711538461536</v>
      </c>
      <c r="Y32" s="24">
        <f t="shared" si="18"/>
        <v>-0.34535762335466752</v>
      </c>
      <c r="Z32" s="9"/>
      <c r="AA32" s="2"/>
      <c r="AB32" s="2"/>
      <c r="AC32" s="2"/>
      <c r="AD32" s="2"/>
    </row>
    <row r="33" spans="1:30" x14ac:dyDescent="0.3">
      <c r="A33" s="22" t="s">
        <v>19</v>
      </c>
      <c r="B33" s="48">
        <v>0</v>
      </c>
      <c r="C33" s="48">
        <v>0</v>
      </c>
      <c r="D33" s="24" t="e">
        <f t="shared" si="13"/>
        <v>#DIV/0!</v>
      </c>
      <c r="E33" s="2"/>
      <c r="F33" s="49">
        <v>22.855</v>
      </c>
      <c r="G33" s="49">
        <v>17.131</v>
      </c>
      <c r="H33" s="24">
        <f t="shared" si="14"/>
        <v>-0.25044847954495736</v>
      </c>
      <c r="I33" s="33"/>
      <c r="J33" s="49">
        <v>0</v>
      </c>
      <c r="K33" s="49">
        <v>22195.203000000001</v>
      </c>
      <c r="L33" s="49">
        <v>12329.773999999999</v>
      </c>
      <c r="M33" s="2"/>
      <c r="N33" s="22" t="s">
        <v>19</v>
      </c>
      <c r="O33" s="9">
        <f t="shared" si="19"/>
        <v>0</v>
      </c>
      <c r="P33" s="9">
        <f t="shared" si="19"/>
        <v>0</v>
      </c>
      <c r="Q33" s="24" t="e">
        <f t="shared" si="15"/>
        <v>#DIV/0!</v>
      </c>
      <c r="R33" s="2"/>
      <c r="S33" s="9">
        <f t="shared" si="16"/>
        <v>1758.0769230769231</v>
      </c>
      <c r="T33" s="9">
        <f t="shared" si="16"/>
        <v>1317.7692307692309</v>
      </c>
      <c r="U33" s="24">
        <f t="shared" si="17"/>
        <v>-0.25044847954495725</v>
      </c>
      <c r="V33" s="24"/>
      <c r="W33" s="9">
        <f t="shared" si="21"/>
        <v>6147.5717948717956</v>
      </c>
      <c r="X33" s="9">
        <f t="shared" si="21"/>
        <v>3833.8253205128203</v>
      </c>
      <c r="Y33" s="24">
        <f t="shared" si="18"/>
        <v>-0.37636754015448259</v>
      </c>
      <c r="Z33" s="9"/>
      <c r="AA33" s="2"/>
      <c r="AB33" s="2"/>
      <c r="AC33" s="2"/>
      <c r="AD33" s="2"/>
    </row>
    <row r="34" spans="1:30" x14ac:dyDescent="0.3">
      <c r="A34" s="22" t="s">
        <v>20</v>
      </c>
      <c r="B34" s="48">
        <v>0</v>
      </c>
      <c r="C34" s="48">
        <v>0</v>
      </c>
      <c r="D34" s="24" t="e">
        <f t="shared" si="13"/>
        <v>#DIV/0!</v>
      </c>
      <c r="E34" s="2"/>
      <c r="F34" s="49">
        <v>21.873000000000001</v>
      </c>
      <c r="G34" s="49">
        <v>21.241</v>
      </c>
      <c r="H34" s="24">
        <f t="shared" si="14"/>
        <v>-2.8894070315000294E-2</v>
      </c>
      <c r="I34" s="33"/>
      <c r="J34" s="49">
        <v>0</v>
      </c>
      <c r="K34" s="49">
        <v>24079.335999999999</v>
      </c>
      <c r="L34" s="49">
        <v>11775.046</v>
      </c>
      <c r="M34" s="2"/>
      <c r="N34" s="22" t="s">
        <v>20</v>
      </c>
      <c r="O34" s="9">
        <f t="shared" si="19"/>
        <v>0</v>
      </c>
      <c r="P34" s="9">
        <f t="shared" si="19"/>
        <v>0</v>
      </c>
      <c r="Q34" s="24" t="e">
        <f t="shared" si="15"/>
        <v>#DIV/0!</v>
      </c>
      <c r="R34" s="2"/>
      <c r="S34" s="9">
        <f t="shared" si="16"/>
        <v>1682.5384615384617</v>
      </c>
      <c r="T34" s="9">
        <f t="shared" si="16"/>
        <v>1633.9230769230769</v>
      </c>
      <c r="U34" s="24">
        <f t="shared" si="17"/>
        <v>-2.8894070315000308E-2</v>
      </c>
      <c r="V34" s="24"/>
      <c r="W34" s="9">
        <f t="shared" si="20"/>
        <v>4610.9451923076922</v>
      </c>
      <c r="X34" s="9">
        <f t="shared" si="20"/>
        <v>641.01538461538462</v>
      </c>
      <c r="Y34" s="24">
        <f t="shared" si="18"/>
        <v>-0.86097961309868265</v>
      </c>
      <c r="Z34" s="9"/>
      <c r="AA34" s="2"/>
      <c r="AB34" s="2"/>
      <c r="AC34" s="2"/>
      <c r="AD34" s="2"/>
    </row>
    <row r="35" spans="1:30" x14ac:dyDescent="0.3">
      <c r="A35" s="22" t="s">
        <v>21</v>
      </c>
      <c r="B35" s="48">
        <v>1948.6669999999999</v>
      </c>
      <c r="C35" s="48">
        <v>2409.5390000000002</v>
      </c>
      <c r="D35" s="24">
        <f t="shared" si="13"/>
        <v>0.23650628865783652</v>
      </c>
      <c r="E35" s="2"/>
      <c r="F35" s="49">
        <v>22.81</v>
      </c>
      <c r="G35" s="49">
        <v>23.283999999999999</v>
      </c>
      <c r="H35" s="24">
        <f t="shared" si="14"/>
        <v>2.0780359491451128E-2</v>
      </c>
      <c r="I35" s="33"/>
      <c r="J35" s="49">
        <v>0</v>
      </c>
      <c r="K35" s="49">
        <v>24643.346000000001</v>
      </c>
      <c r="L35" s="49">
        <v>12688.773999999999</v>
      </c>
      <c r="M35" s="2"/>
      <c r="N35" s="22" t="s">
        <v>21</v>
      </c>
      <c r="O35" s="9">
        <f t="shared" si="19"/>
        <v>7494.873076923076</v>
      </c>
      <c r="P35" s="9">
        <f t="shared" si="19"/>
        <v>9267.4576923076929</v>
      </c>
      <c r="Q35" s="24">
        <f t="shared" si="15"/>
        <v>0.23650628865783657</v>
      </c>
      <c r="R35" s="2"/>
      <c r="S35" s="9">
        <f t="shared" si="16"/>
        <v>1754.6153846153845</v>
      </c>
      <c r="T35" s="9">
        <f t="shared" si="16"/>
        <v>1791.0769230769231</v>
      </c>
      <c r="U35" s="24">
        <f t="shared" si="17"/>
        <v>2.078035949145118E-2</v>
      </c>
      <c r="V35" s="24"/>
      <c r="W35" s="9">
        <f>(B77/0.24)+(F77/0.26)+(J77/0.23)</f>
        <v>904.5557692307691</v>
      </c>
      <c r="X35" s="9">
        <f>(C77/0.24)+(G77/0.26)+(K77/0.23)</f>
        <v>753.57980769230767</v>
      </c>
      <c r="Y35" s="24">
        <f t="shared" si="18"/>
        <v>-0.16690619492355993</v>
      </c>
      <c r="Z35" s="9"/>
      <c r="AA35" s="2"/>
      <c r="AB35" s="2"/>
      <c r="AC35" s="2"/>
      <c r="AD35" s="2"/>
    </row>
    <row r="36" spans="1:30" x14ac:dyDescent="0.3">
      <c r="A36" s="22" t="s">
        <v>22</v>
      </c>
      <c r="B36" s="48">
        <v>0</v>
      </c>
      <c r="C36" s="48">
        <v>0</v>
      </c>
      <c r="D36" s="24" t="e">
        <f t="shared" si="13"/>
        <v>#DIV/0!</v>
      </c>
      <c r="E36" s="2"/>
      <c r="F36" s="49">
        <v>27.577999999999999</v>
      </c>
      <c r="G36" s="49">
        <v>24.3</v>
      </c>
      <c r="H36" s="24">
        <f t="shared" si="14"/>
        <v>-0.11886286170135611</v>
      </c>
      <c r="I36" s="33"/>
      <c r="J36" s="49">
        <v>0</v>
      </c>
      <c r="K36" s="49">
        <v>25085.798999999999</v>
      </c>
      <c r="L36" s="49">
        <v>12276.029</v>
      </c>
      <c r="M36" s="2"/>
      <c r="N36" s="22" t="s">
        <v>22</v>
      </c>
      <c r="O36" s="9">
        <f t="shared" si="19"/>
        <v>0</v>
      </c>
      <c r="P36" s="9">
        <f t="shared" si="19"/>
        <v>0</v>
      </c>
      <c r="Q36" s="24" t="e">
        <f t="shared" si="15"/>
        <v>#DIV/0!</v>
      </c>
      <c r="R36" s="2"/>
      <c r="S36" s="9">
        <f t="shared" si="16"/>
        <v>2121.3846153846152</v>
      </c>
      <c r="T36" s="9">
        <f t="shared" si="16"/>
        <v>1869.2307692307693</v>
      </c>
      <c r="U36" s="24">
        <f t="shared" si="17"/>
        <v>-0.11886286170135607</v>
      </c>
      <c r="V36" s="24"/>
      <c r="W36" s="9">
        <f>(B78/0.24)+(F78/0.26)+(J78/0.23)</f>
        <v>1095.9057692307692</v>
      </c>
      <c r="X36" s="9">
        <f>(C78/0.24)+(G78/0.26)+(K78/0.23)</f>
        <v>337.99230769230769</v>
      </c>
      <c r="Y36" s="24">
        <f t="shared" si="18"/>
        <v>-0.69158634147026254</v>
      </c>
      <c r="Z36" s="9"/>
      <c r="AA36" s="2"/>
      <c r="AB36" s="2"/>
      <c r="AC36" s="2"/>
      <c r="AD36" s="2"/>
    </row>
    <row r="37" spans="1:30" x14ac:dyDescent="0.3">
      <c r="A37" s="22" t="s">
        <v>23</v>
      </c>
      <c r="B37" s="48">
        <v>0</v>
      </c>
      <c r="C37" s="48">
        <v>0</v>
      </c>
      <c r="D37" s="24" t="e">
        <f t="shared" si="13"/>
        <v>#DIV/0!</v>
      </c>
      <c r="E37" s="2"/>
      <c r="F37" s="49">
        <v>27.021000000000001</v>
      </c>
      <c r="G37" s="49">
        <v>28.291</v>
      </c>
      <c r="H37" s="24">
        <f t="shared" si="14"/>
        <v>4.7000481107286905E-2</v>
      </c>
      <c r="I37" s="33"/>
      <c r="J37" s="49">
        <v>0</v>
      </c>
      <c r="K37" s="49">
        <v>24969.662</v>
      </c>
      <c r="L37" s="49">
        <v>13082.486999999999</v>
      </c>
      <c r="M37" s="2"/>
      <c r="N37" s="22" t="s">
        <v>23</v>
      </c>
      <c r="O37" s="9">
        <f t="shared" si="19"/>
        <v>0</v>
      </c>
      <c r="P37" s="9">
        <f t="shared" si="19"/>
        <v>0</v>
      </c>
      <c r="Q37" s="24" t="e">
        <f t="shared" si="15"/>
        <v>#DIV/0!</v>
      </c>
      <c r="R37" s="2"/>
      <c r="S37" s="9">
        <f t="shared" si="16"/>
        <v>2078.5384615384619</v>
      </c>
      <c r="T37" s="9">
        <f t="shared" si="16"/>
        <v>2176.2307692307695</v>
      </c>
      <c r="U37" s="24">
        <f t="shared" si="17"/>
        <v>4.7000481107286884E-2</v>
      </c>
      <c r="V37" s="24"/>
      <c r="W37" s="9">
        <f t="shared" si="20"/>
        <v>882.22724358974358</v>
      </c>
      <c r="X37" s="9">
        <f>(C79/0.24)+(G79/0.26)+(K79/0.23)</f>
        <v>534.75448717948711</v>
      </c>
      <c r="Y37" s="24">
        <f t="shared" si="18"/>
        <v>-0.39385856527894697</v>
      </c>
      <c r="Z37" s="9"/>
      <c r="AA37" s="2"/>
      <c r="AB37" s="2"/>
      <c r="AC37" s="2"/>
      <c r="AD37" s="2"/>
    </row>
    <row r="38" spans="1:30" x14ac:dyDescent="0.3">
      <c r="A38" s="22" t="s">
        <v>24</v>
      </c>
      <c r="B38" s="48">
        <v>1941.788</v>
      </c>
      <c r="C38" s="48">
        <v>2138.248</v>
      </c>
      <c r="D38" s="27">
        <f t="shared" si="13"/>
        <v>0.1011747935407985</v>
      </c>
      <c r="E38" s="2"/>
      <c r="F38" s="49">
        <v>32.651000000000003</v>
      </c>
      <c r="G38" s="49">
        <v>23.231999999999999</v>
      </c>
      <c r="H38" s="27">
        <f t="shared" si="14"/>
        <v>-0.28847508498974006</v>
      </c>
      <c r="I38" s="33"/>
      <c r="J38" s="50">
        <v>0</v>
      </c>
      <c r="K38" s="49">
        <v>27894.86</v>
      </c>
      <c r="L38" s="49">
        <v>0</v>
      </c>
      <c r="M38" s="2"/>
      <c r="N38" s="51" t="s">
        <v>24</v>
      </c>
      <c r="O38" s="9">
        <f t="shared" si="19"/>
        <v>7468.415384615384</v>
      </c>
      <c r="P38" s="9">
        <f>C38/0.26</f>
        <v>8224.0307692307688</v>
      </c>
      <c r="Q38" s="24">
        <f t="shared" si="15"/>
        <v>0.1011747935407985</v>
      </c>
      <c r="R38" s="2"/>
      <c r="S38" s="28">
        <f t="shared" si="16"/>
        <v>2511.6153846153852</v>
      </c>
      <c r="T38" s="28">
        <f>G38/0.013</f>
        <v>1787.0769230769231</v>
      </c>
      <c r="U38" s="27">
        <f t="shared" si="17"/>
        <v>-0.28847508498974012</v>
      </c>
      <c r="V38" s="24"/>
      <c r="W38" s="9">
        <f>(B80/0.24)+(F80/0.26)+(J80/0.23)</f>
        <v>523.39134615384614</v>
      </c>
      <c r="X38" s="9">
        <f>(C80/0.24)+(G80/0.26)+(K80/0.23)</f>
        <v>1062.6163461538461</v>
      </c>
      <c r="Y38" s="27">
        <f t="shared" si="18"/>
        <v>1.0302520360004188</v>
      </c>
      <c r="Z38" s="9"/>
      <c r="AA38" s="2"/>
      <c r="AB38" s="2"/>
      <c r="AC38" s="2"/>
      <c r="AD38" s="2"/>
    </row>
    <row r="39" spans="1:30" x14ac:dyDescent="0.3">
      <c r="A39" s="29"/>
      <c r="B39" s="9" t="s">
        <v>44</v>
      </c>
      <c r="C39" s="9"/>
      <c r="D39" s="24"/>
      <c r="E39" s="2"/>
      <c r="F39" s="7" t="s">
        <v>45</v>
      </c>
      <c r="G39" s="7"/>
      <c r="H39" s="24"/>
      <c r="I39" s="33"/>
      <c r="J39" s="7" t="s">
        <v>46</v>
      </c>
      <c r="K39" s="7"/>
      <c r="L39" s="7"/>
      <c r="M39" s="2"/>
      <c r="N39" s="22"/>
      <c r="O39" s="30" t="s">
        <v>44</v>
      </c>
      <c r="P39" s="30">
        <f t="shared" si="19"/>
        <v>0</v>
      </c>
      <c r="Q39" s="52"/>
      <c r="R39" s="2"/>
      <c r="S39" s="33" t="s">
        <v>47</v>
      </c>
      <c r="T39" s="9"/>
      <c r="U39" s="24"/>
      <c r="V39" s="24"/>
      <c r="W39" s="30" t="s">
        <v>48</v>
      </c>
      <c r="X39" s="30"/>
      <c r="Y39" s="24"/>
      <c r="Z39" s="9"/>
      <c r="AA39" s="2"/>
      <c r="AB39" s="2"/>
      <c r="AC39" s="2"/>
      <c r="AD39" s="2"/>
    </row>
    <row r="40" spans="1:30" x14ac:dyDescent="0.3">
      <c r="A40" s="22" t="s">
        <v>29</v>
      </c>
      <c r="B40" s="11" t="str">
        <f>$B$20</f>
        <v>FY 22</v>
      </c>
      <c r="C40" s="11" t="str">
        <f>$C$20</f>
        <v>FY23</v>
      </c>
      <c r="D40" s="24" t="s">
        <v>32</v>
      </c>
      <c r="E40" s="2"/>
      <c r="F40" s="11" t="str">
        <f>$B$20</f>
        <v>FY 22</v>
      </c>
      <c r="G40" s="11" t="str">
        <f>$C$20</f>
        <v>FY23</v>
      </c>
      <c r="H40" s="24" t="s">
        <v>32</v>
      </c>
      <c r="I40" s="33"/>
      <c r="J40" s="9" t="s">
        <v>49</v>
      </c>
      <c r="K40" s="9" t="s">
        <v>50</v>
      </c>
      <c r="L40" s="24" t="s">
        <v>51</v>
      </c>
      <c r="M40" s="2"/>
      <c r="N40" s="9" t="s">
        <v>29</v>
      </c>
      <c r="O40" s="11" t="str">
        <f>$B$20</f>
        <v>FY 22</v>
      </c>
      <c r="P40" s="11" t="str">
        <f>$C$20</f>
        <v>FY23</v>
      </c>
      <c r="Q40" s="24" t="s">
        <v>52</v>
      </c>
      <c r="R40" s="2"/>
      <c r="S40" s="11" t="str">
        <f>$B$20</f>
        <v>FY 22</v>
      </c>
      <c r="T40" s="11" t="str">
        <f>$C$20</f>
        <v>FY23</v>
      </c>
      <c r="U40" s="24" t="s">
        <v>53</v>
      </c>
      <c r="V40" s="24"/>
      <c r="W40" s="11" t="str">
        <f>$B$20</f>
        <v>FY 22</v>
      </c>
      <c r="X40" s="11" t="str">
        <f>$C$20</f>
        <v>FY23</v>
      </c>
      <c r="Y40" s="24" t="s">
        <v>53</v>
      </c>
      <c r="Z40" s="9"/>
      <c r="AA40" s="2"/>
      <c r="AB40" s="2"/>
      <c r="AC40" s="2"/>
      <c r="AD40" s="2"/>
    </row>
    <row r="41" spans="1:30" x14ac:dyDescent="0.3">
      <c r="A41" s="22" t="s">
        <v>34</v>
      </c>
      <c r="B41" s="53">
        <f>SUM(B27:B37)</f>
        <v>5432.1379999999999</v>
      </c>
      <c r="C41" s="53">
        <f>SUM(C27:C37)</f>
        <v>6860.9770000000008</v>
      </c>
      <c r="D41" s="37">
        <f>(C41-B41)/B41</f>
        <v>0.26303437062902318</v>
      </c>
      <c r="E41" s="2"/>
      <c r="F41" s="53">
        <f>SUM(F27:F37)</f>
        <v>309.03299999999996</v>
      </c>
      <c r="G41" s="53">
        <f>SUM(G27:G37)</f>
        <v>261.51499999999999</v>
      </c>
      <c r="H41" s="37">
        <f>(G41-F41)/F41</f>
        <v>-0.15376351392893309</v>
      </c>
      <c r="I41" s="33"/>
      <c r="J41" s="7">
        <f>SUM(J27:J37)</f>
        <v>0</v>
      </c>
      <c r="K41" s="7">
        <f>SUM(K27:K37)</f>
        <v>276266.25800000003</v>
      </c>
      <c r="L41" s="7">
        <f>SUM(L27:L37)</f>
        <v>142028.223</v>
      </c>
      <c r="M41" s="2"/>
      <c r="N41" s="2" t="str">
        <f>N21</f>
        <v>FYTD</v>
      </c>
      <c r="O41" s="34">
        <f>SUM(O27:O37)</f>
        <v>20892.83846153846</v>
      </c>
      <c r="P41" s="34">
        <f>SUM(P27:P37)</f>
        <v>26388.373076923079</v>
      </c>
      <c r="Q41" s="24">
        <f>(P41-O41)/O41</f>
        <v>0.26303437062902324</v>
      </c>
      <c r="R41" s="2"/>
      <c r="S41" s="34">
        <f>SUM(S27:S37)</f>
        <v>23771.769230769234</v>
      </c>
      <c r="T41" s="34">
        <f>SUM(T27:T37)</f>
        <v>20116.538461538461</v>
      </c>
      <c r="U41" s="24">
        <f>(T41-S41)/S41</f>
        <v>-0.15376351392893331</v>
      </c>
      <c r="V41" s="24"/>
      <c r="W41" s="9">
        <f>SUM(W27:W37)</f>
        <v>21035.430295429211</v>
      </c>
      <c r="X41" s="9">
        <f>SUM(X27:X37)</f>
        <v>14829.935256410256</v>
      </c>
      <c r="Y41" s="24">
        <f>(X41-W41)/W41</f>
        <v>-0.29500204901286697</v>
      </c>
      <c r="Z41" s="9"/>
      <c r="AA41" s="2"/>
      <c r="AB41" s="2"/>
      <c r="AC41" s="2"/>
      <c r="AD41" s="2"/>
    </row>
    <row r="42" spans="1:30" x14ac:dyDescent="0.3">
      <c r="A42" s="22" t="str">
        <f>A22</f>
        <v>% total</v>
      </c>
      <c r="B42" s="24">
        <f>B41/B43</f>
        <v>0.73666836363695543</v>
      </c>
      <c r="C42" s="37">
        <f>C41/C43</f>
        <v>0.76239642858135015</v>
      </c>
      <c r="D42" s="54" t="s">
        <v>36</v>
      </c>
      <c r="E42" s="2"/>
      <c r="F42" s="37">
        <f>F41/F43</f>
        <v>0.90444094543496323</v>
      </c>
      <c r="G42" s="37">
        <f>G41/G43</f>
        <v>0.91841178309165694</v>
      </c>
      <c r="H42" s="37" t="s">
        <v>36</v>
      </c>
      <c r="I42" s="2"/>
      <c r="J42" s="24" t="e">
        <f>J41/J43</f>
        <v>#DIV/0!</v>
      </c>
      <c r="K42" s="24">
        <f>K41/K43</f>
        <v>0.9082891982268424</v>
      </c>
      <c r="L42" s="24">
        <f>L41/L43</f>
        <v>1</v>
      </c>
      <c r="M42" s="2"/>
      <c r="N42" s="2" t="str">
        <f>N22</f>
        <v>% total</v>
      </c>
      <c r="O42" s="24">
        <f>O41/O43</f>
        <v>0.73666836363695543</v>
      </c>
      <c r="P42" s="24">
        <f>P41/P43</f>
        <v>0.76239642858135015</v>
      </c>
      <c r="Q42" s="36" t="s">
        <v>36</v>
      </c>
      <c r="R42" s="2"/>
      <c r="S42" s="24">
        <f>S41/S43</f>
        <v>0.90444094543496323</v>
      </c>
      <c r="T42" s="24">
        <f>T41/T43</f>
        <v>0.91841178309165683</v>
      </c>
      <c r="U42" s="36" t="s">
        <v>36</v>
      </c>
      <c r="V42" s="2"/>
      <c r="W42" s="24">
        <f>W41/W43</f>
        <v>0.97572263666097969</v>
      </c>
      <c r="X42" s="24">
        <f>X41/X43</f>
        <v>0.93313746132607156</v>
      </c>
      <c r="Y42" s="37" t="s">
        <v>36</v>
      </c>
      <c r="Z42" s="9"/>
      <c r="AA42" s="2"/>
      <c r="AB42" s="2"/>
      <c r="AC42" s="2"/>
      <c r="AD42" s="2"/>
    </row>
    <row r="43" spans="1:30" x14ac:dyDescent="0.3">
      <c r="A43" s="22" t="str">
        <f>A23</f>
        <v>FYTotal</v>
      </c>
      <c r="B43" s="53">
        <f>SUM(B27:B38)</f>
        <v>7373.9259999999995</v>
      </c>
      <c r="C43" s="53">
        <f>SUM(C27:C38)</f>
        <v>8999.2250000000004</v>
      </c>
      <c r="D43" s="37">
        <f>(C43-B43)/B43</f>
        <v>0.22041162333335065</v>
      </c>
      <c r="E43" s="2"/>
      <c r="F43" s="53">
        <f>SUM(F27:F38)</f>
        <v>341.68399999999997</v>
      </c>
      <c r="G43" s="53">
        <f>SUM(G27:G38)</f>
        <v>284.74699999999996</v>
      </c>
      <c r="H43" s="37">
        <f>(G43-F43)/F43</f>
        <v>-0.16663642429847467</v>
      </c>
      <c r="I43" s="33"/>
      <c r="J43" s="7">
        <f>SUM(J27:J38)</f>
        <v>0</v>
      </c>
      <c r="K43" s="7">
        <f>SUM(K27:K38)</f>
        <v>304161.11800000002</v>
      </c>
      <c r="L43" s="7">
        <f>L41</f>
        <v>142028.223</v>
      </c>
      <c r="M43" s="2"/>
      <c r="N43" s="2" t="str">
        <f>N23</f>
        <v>FYTotal</v>
      </c>
      <c r="O43" s="9">
        <f>SUM(O27:O38)</f>
        <v>28361.253846153842</v>
      </c>
      <c r="P43" s="9">
        <f>SUM(P27:P38)</f>
        <v>34612.403846153844</v>
      </c>
      <c r="Q43" s="24">
        <f>(P43-O43)/O43</f>
        <v>0.2204116233333506</v>
      </c>
      <c r="R43" s="2"/>
      <c r="S43" s="9">
        <f>SUM(S27:S38)</f>
        <v>26283.384615384621</v>
      </c>
      <c r="T43" s="9">
        <f>SUM(T27:T38)</f>
        <v>21903.615384615383</v>
      </c>
      <c r="U43" s="24">
        <f>(T43-S43)/S43</f>
        <v>-0.16663642429847483</v>
      </c>
      <c r="V43" s="24"/>
      <c r="W43" s="9">
        <f>SUM(W27:W38)</f>
        <v>21558.821641583057</v>
      </c>
      <c r="X43" s="9">
        <f>(C85/0.24)+(G85/0.26)+(K85/0.23)</f>
        <v>15892.551602564101</v>
      </c>
      <c r="Y43" s="24">
        <f>(X43-W43)/W43</f>
        <v>-0.26282837407447862</v>
      </c>
      <c r="Z43" s="9"/>
      <c r="AA43" s="2"/>
      <c r="AB43" s="2"/>
      <c r="AC43" s="2"/>
      <c r="AD43" s="2"/>
    </row>
    <row r="44" spans="1:30" x14ac:dyDescent="0.3">
      <c r="A44" s="22"/>
      <c r="B44" s="9"/>
      <c r="C44" s="38"/>
      <c r="D44" s="11"/>
      <c r="E44" s="11"/>
      <c r="F44" s="11"/>
      <c r="G44" s="38"/>
      <c r="H44" s="11"/>
      <c r="I44" s="11"/>
      <c r="J44" s="11"/>
      <c r="K44" s="55" t="s">
        <v>54</v>
      </c>
      <c r="L44" s="56"/>
      <c r="M44" s="2"/>
      <c r="N44" s="22"/>
      <c r="O44" s="57"/>
      <c r="P44" s="9"/>
      <c r="Q44" s="2"/>
      <c r="R44" s="2"/>
      <c r="S44" s="26"/>
      <c r="T44" s="58"/>
      <c r="U44" s="2"/>
      <c r="V44" s="24"/>
      <c r="W44" s="57"/>
      <c r="X44" s="9"/>
      <c r="Y44" s="9"/>
      <c r="Z44" s="24"/>
      <c r="AA44" s="2"/>
      <c r="AB44" s="2"/>
      <c r="AC44" s="2"/>
      <c r="AD44" s="2"/>
    </row>
    <row r="45" spans="1:30" x14ac:dyDescent="0.3">
      <c r="A45" s="2"/>
      <c r="B45" s="43"/>
      <c r="C45" s="13" t="s">
        <v>55</v>
      </c>
      <c r="D45" s="14"/>
      <c r="E45" s="2"/>
      <c r="F45" s="43"/>
      <c r="G45" s="13" t="s">
        <v>56</v>
      </c>
      <c r="H45" s="14"/>
      <c r="I45" s="2"/>
      <c r="J45" s="43"/>
      <c r="K45" s="13" t="s">
        <v>57</v>
      </c>
      <c r="L45" s="1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9"/>
      <c r="AA45" s="2"/>
      <c r="AB45" s="2"/>
      <c r="AC45" s="2"/>
      <c r="AD45" s="2"/>
    </row>
    <row r="46" spans="1:30" x14ac:dyDescent="0.3">
      <c r="A46" s="17" t="s">
        <v>11</v>
      </c>
      <c r="B46" s="21" t="str">
        <f>B6</f>
        <v>FY23</v>
      </c>
      <c r="C46" s="17" t="str">
        <f>C6</f>
        <v>FY24</v>
      </c>
      <c r="D46" s="20" t="str">
        <f>D26</f>
        <v>% chg</v>
      </c>
      <c r="E46" s="2"/>
      <c r="F46" s="21" t="str">
        <f>B6</f>
        <v>FY23</v>
      </c>
      <c r="G46" s="17" t="str">
        <f>C6</f>
        <v>FY24</v>
      </c>
      <c r="H46" s="20" t="str">
        <f>H26</f>
        <v>% chg</v>
      </c>
      <c r="I46" s="2"/>
      <c r="J46" s="21" t="str">
        <f>B6</f>
        <v>FY23</v>
      </c>
      <c r="K46" s="17" t="str">
        <f>C6</f>
        <v>FY24</v>
      </c>
      <c r="L46" s="20" t="str">
        <f>L6</f>
        <v>% chg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x14ac:dyDescent="0.3">
      <c r="A47" s="22" t="s">
        <v>13</v>
      </c>
      <c r="B47" s="49">
        <v>38589.828999999998</v>
      </c>
      <c r="C47" s="49">
        <v>37651.870000000003</v>
      </c>
      <c r="D47" s="24">
        <f t="shared" ref="D47:D58" si="22">(C47-B47)/B47</f>
        <v>-2.4305860489819617E-2</v>
      </c>
      <c r="E47" s="2"/>
      <c r="F47" s="49">
        <v>72.713999999999999</v>
      </c>
      <c r="G47" s="49">
        <v>549.43299999999999</v>
      </c>
      <c r="H47" s="24">
        <f t="shared" ref="H47:H58" si="23">(G47-F47)/F47</f>
        <v>6.5560827350991557</v>
      </c>
      <c r="I47" s="2"/>
      <c r="J47" s="49">
        <f>B47-F47</f>
        <v>38517.114999999998</v>
      </c>
      <c r="K47" s="49">
        <f>C47-G47</f>
        <v>37102.437000000005</v>
      </c>
      <c r="L47" s="24">
        <f t="shared" ref="L47:L58" si="24">(K47-J47)/J47</f>
        <v>-3.6728555604436955E-2</v>
      </c>
      <c r="M47" s="2"/>
      <c r="N47" s="2" t="s">
        <v>58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x14ac:dyDescent="0.3">
      <c r="A48" s="22" t="s">
        <v>14</v>
      </c>
      <c r="B48" s="49">
        <v>40653.106</v>
      </c>
      <c r="C48" s="49">
        <v>39824.938999999998</v>
      </c>
      <c r="D48" s="24">
        <f t="shared" si="22"/>
        <v>-2.0371555373899383E-2</v>
      </c>
      <c r="E48" s="2"/>
      <c r="F48" s="49">
        <v>133.833</v>
      </c>
      <c r="G48" s="49">
        <v>773.72500000000002</v>
      </c>
      <c r="H48" s="24">
        <f t="shared" si="23"/>
        <v>4.781272182496096</v>
      </c>
      <c r="I48" s="2"/>
      <c r="J48" s="49">
        <f t="shared" ref="J48:J57" si="25">B48-F48</f>
        <v>40519.273000000001</v>
      </c>
      <c r="K48" s="49">
        <f t="shared" ref="K48:K57" si="26">C48-G48</f>
        <v>39051.214</v>
      </c>
      <c r="L48" s="24">
        <f t="shared" si="24"/>
        <v>-3.6231128826028074E-2</v>
      </c>
      <c r="M48" s="2"/>
      <c r="N48" s="2" t="s">
        <v>59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x14ac:dyDescent="0.3">
      <c r="A49" s="22" t="s">
        <v>15</v>
      </c>
      <c r="B49" s="49">
        <v>41646.392999999996</v>
      </c>
      <c r="C49" s="49">
        <v>41042.542000000001</v>
      </c>
      <c r="D49" s="24">
        <f t="shared" si="22"/>
        <v>-1.4499478982489435E-2</v>
      </c>
      <c r="E49" s="2"/>
      <c r="F49" s="49">
        <v>857.327</v>
      </c>
      <c r="G49" s="49">
        <v>149.41300000000001</v>
      </c>
      <c r="H49" s="24">
        <f t="shared" si="23"/>
        <v>-0.82572227399813602</v>
      </c>
      <c r="I49" s="2"/>
      <c r="J49" s="49">
        <f t="shared" si="25"/>
        <v>40789.065999999999</v>
      </c>
      <c r="K49" s="49">
        <f t="shared" si="26"/>
        <v>40893.129000000001</v>
      </c>
      <c r="L49" s="24">
        <f t="shared" si="24"/>
        <v>2.5512474347905373E-3</v>
      </c>
      <c r="M49" s="2"/>
      <c r="N49" s="2" t="s">
        <v>60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x14ac:dyDescent="0.3">
      <c r="A50" s="22" t="s">
        <v>16</v>
      </c>
      <c r="B50" s="49">
        <v>36815.089999999997</v>
      </c>
      <c r="C50" s="49">
        <v>37418.629000000001</v>
      </c>
      <c r="D50" s="24">
        <f t="shared" si="22"/>
        <v>1.6393793957858161E-2</v>
      </c>
      <c r="E50" s="2"/>
      <c r="F50" s="49">
        <v>591.327</v>
      </c>
      <c r="G50" s="49">
        <v>139.41200000000001</v>
      </c>
      <c r="H50" s="24">
        <f t="shared" si="23"/>
        <v>-0.76423873761894856</v>
      </c>
      <c r="I50" s="2"/>
      <c r="J50" s="49">
        <f t="shared" ref="J50:K52" si="27">B50-F50</f>
        <v>36223.762999999999</v>
      </c>
      <c r="K50" s="49">
        <f t="shared" si="27"/>
        <v>37279.217000000004</v>
      </c>
      <c r="L50" s="24">
        <f t="shared" si="24"/>
        <v>2.9137061215865543E-2</v>
      </c>
      <c r="M50" s="2"/>
      <c r="N50" s="2" t="s">
        <v>61</v>
      </c>
      <c r="O50" s="2"/>
      <c r="P50" s="2"/>
      <c r="Q50" s="2"/>
      <c r="R50" s="2"/>
      <c r="S50" s="2"/>
      <c r="T50" s="2"/>
      <c r="U50" s="8"/>
      <c r="V50" s="2"/>
      <c r="W50" s="2"/>
      <c r="X50" s="2"/>
      <c r="Y50" s="2"/>
      <c r="Z50" s="2"/>
      <c r="AA50" s="2"/>
      <c r="AB50" s="2"/>
      <c r="AC50" s="2"/>
      <c r="AD50" s="2"/>
    </row>
    <row r="51" spans="1:30" x14ac:dyDescent="0.3">
      <c r="A51" s="22" t="s">
        <v>17</v>
      </c>
      <c r="B51" s="49">
        <v>39040.671999999999</v>
      </c>
      <c r="C51" s="49">
        <v>39818.300999999999</v>
      </c>
      <c r="D51" s="24">
        <f t="shared" si="22"/>
        <v>1.991843275648536E-2</v>
      </c>
      <c r="E51" s="2"/>
      <c r="F51" s="49">
        <v>97.405000000000001</v>
      </c>
      <c r="G51" s="49">
        <v>505.30599999999998</v>
      </c>
      <c r="H51" s="24">
        <f t="shared" si="23"/>
        <v>4.1876803038858368</v>
      </c>
      <c r="I51" s="2"/>
      <c r="J51" s="49">
        <f t="shared" si="27"/>
        <v>38943.267</v>
      </c>
      <c r="K51" s="49">
        <f t="shared" si="27"/>
        <v>39312.995000000003</v>
      </c>
      <c r="L51" s="24">
        <f t="shared" si="24"/>
        <v>9.4940160002498705E-3</v>
      </c>
      <c r="M51" s="2"/>
      <c r="N51" s="2" t="s">
        <v>62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x14ac:dyDescent="0.3">
      <c r="A52" s="22" t="s">
        <v>18</v>
      </c>
      <c r="B52" s="49">
        <v>42682.616999999998</v>
      </c>
      <c r="C52" s="49">
        <v>40447.552000000003</v>
      </c>
      <c r="D52" s="24">
        <f t="shared" si="22"/>
        <v>-5.2364760108312834E-2</v>
      </c>
      <c r="E52" s="2"/>
      <c r="F52" s="49">
        <v>160.643</v>
      </c>
      <c r="G52" s="49">
        <v>105.956</v>
      </c>
      <c r="H52" s="24">
        <f t="shared" si="23"/>
        <v>-0.3404256643613478</v>
      </c>
      <c r="I52" s="2"/>
      <c r="J52" s="49">
        <f t="shared" si="27"/>
        <v>42521.974000000002</v>
      </c>
      <c r="K52" s="49">
        <f t="shared" si="27"/>
        <v>40341.596000000005</v>
      </c>
      <c r="L52" s="24">
        <f t="shared" si="24"/>
        <v>-5.127650000444469E-2</v>
      </c>
      <c r="M52" s="2"/>
      <c r="N52" s="2" t="s">
        <v>63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x14ac:dyDescent="0.3">
      <c r="A53" s="22" t="s">
        <v>19</v>
      </c>
      <c r="B53" s="49">
        <v>38251.692000000003</v>
      </c>
      <c r="C53" s="49">
        <v>34424.966</v>
      </c>
      <c r="D53" s="24">
        <f t="shared" si="22"/>
        <v>-0.10004069885326908</v>
      </c>
      <c r="E53" s="2"/>
      <c r="F53" s="49">
        <v>1588.674</v>
      </c>
      <c r="G53" s="49">
        <v>983.34500000000003</v>
      </c>
      <c r="H53" s="24">
        <f t="shared" si="23"/>
        <v>-0.38102782572132482</v>
      </c>
      <c r="I53" s="2"/>
      <c r="J53" s="49">
        <f t="shared" si="25"/>
        <v>36663.018000000004</v>
      </c>
      <c r="K53" s="49">
        <f t="shared" si="26"/>
        <v>33441.620999999999</v>
      </c>
      <c r="L53" s="24">
        <f t="shared" si="24"/>
        <v>-8.7865025186960988E-2</v>
      </c>
      <c r="M53" s="2"/>
      <c r="N53" s="2" t="s">
        <v>64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x14ac:dyDescent="0.3">
      <c r="A54" s="22" t="s">
        <v>20</v>
      </c>
      <c r="B54" s="49">
        <v>36210.021000000001</v>
      </c>
      <c r="C54" s="49">
        <v>36444.476000000002</v>
      </c>
      <c r="D54" s="24">
        <f t="shared" si="22"/>
        <v>6.4748650656679197E-3</v>
      </c>
      <c r="E54" s="2"/>
      <c r="F54" s="49">
        <v>1196.501</v>
      </c>
      <c r="G54" s="49">
        <v>164.02600000000001</v>
      </c>
      <c r="H54" s="24">
        <f t="shared" si="23"/>
        <v>-0.86291194073385646</v>
      </c>
      <c r="I54" s="2"/>
      <c r="J54" s="49">
        <f>B54-F54</f>
        <v>35013.520000000004</v>
      </c>
      <c r="K54" s="49">
        <f>C54-G54</f>
        <v>36280.450000000004</v>
      </c>
      <c r="L54" s="24">
        <f t="shared" si="24"/>
        <v>3.6184022628973044E-2</v>
      </c>
      <c r="M54" s="2"/>
      <c r="N54" s="2" t="s">
        <v>65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33"/>
    </row>
    <row r="55" spans="1:30" x14ac:dyDescent="0.3">
      <c r="A55" s="22" t="s">
        <v>21</v>
      </c>
      <c r="B55" s="49">
        <v>37959.997000000003</v>
      </c>
      <c r="C55" s="49">
        <v>37323.360000000001</v>
      </c>
      <c r="D55" s="24">
        <f t="shared" si="22"/>
        <v>-1.6771260545673974E-2</v>
      </c>
      <c r="E55" s="2"/>
      <c r="F55" s="49">
        <v>229.47800000000001</v>
      </c>
      <c r="G55" s="49">
        <v>193.11199999999999</v>
      </c>
      <c r="H55" s="24">
        <f t="shared" si="23"/>
        <v>-0.15847270762338878</v>
      </c>
      <c r="I55" s="2"/>
      <c r="J55" s="49">
        <f t="shared" si="25"/>
        <v>37730.519</v>
      </c>
      <c r="K55" s="49">
        <f t="shared" si="26"/>
        <v>37130.248</v>
      </c>
      <c r="L55" s="24">
        <f t="shared" si="24"/>
        <v>-1.5909428651113985E-2</v>
      </c>
      <c r="M55" s="2"/>
      <c r="N55" s="22" t="s">
        <v>66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x14ac:dyDescent="0.3">
      <c r="A56" s="22" t="s">
        <v>22</v>
      </c>
      <c r="B56" s="49">
        <v>36787.175999999999</v>
      </c>
      <c r="C56" s="49">
        <v>37883.612000000001</v>
      </c>
      <c r="D56" s="24">
        <f t="shared" si="22"/>
        <v>2.9804842861545056E-2</v>
      </c>
      <c r="E56" s="2"/>
      <c r="F56" s="49">
        <v>283.96499999999997</v>
      </c>
      <c r="G56" s="49">
        <v>86.718000000000004</v>
      </c>
      <c r="H56" s="24">
        <f t="shared" si="23"/>
        <v>-0.6946172943848713</v>
      </c>
      <c r="I56" s="2"/>
      <c r="J56" s="49">
        <f t="shared" si="25"/>
        <v>36503.211000000003</v>
      </c>
      <c r="K56" s="49">
        <f t="shared" si="26"/>
        <v>37796.894</v>
      </c>
      <c r="L56" s="24">
        <f t="shared" si="24"/>
        <v>3.5440252091795355E-2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x14ac:dyDescent="0.3">
      <c r="A57" s="22" t="s">
        <v>23</v>
      </c>
      <c r="B57" s="49">
        <v>39128.385999999999</v>
      </c>
      <c r="C57" s="49">
        <v>37759.669000000002</v>
      </c>
      <c r="D57" s="24">
        <f t="shared" si="22"/>
        <v>-3.4980154816505772E-2</v>
      </c>
      <c r="E57" s="2"/>
      <c r="F57" s="49">
        <v>227.14599999999999</v>
      </c>
      <c r="G57" s="49">
        <v>137.75800000000001</v>
      </c>
      <c r="H57" s="24">
        <f t="shared" si="23"/>
        <v>-0.39352663044913838</v>
      </c>
      <c r="I57" s="2"/>
      <c r="J57" s="49">
        <f t="shared" si="25"/>
        <v>38901.24</v>
      </c>
      <c r="K57" s="49">
        <f t="shared" si="26"/>
        <v>37621.911</v>
      </c>
      <c r="L57" s="24">
        <f t="shared" si="24"/>
        <v>-3.2886586648651767E-2</v>
      </c>
      <c r="M57" s="2"/>
      <c r="N57" s="22"/>
      <c r="O57" s="2"/>
      <c r="P57" s="3"/>
      <c r="Q57" s="2"/>
      <c r="R57" s="2"/>
      <c r="S57" s="2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</row>
    <row r="58" spans="1:30" x14ac:dyDescent="0.3">
      <c r="A58" s="22" t="s">
        <v>24</v>
      </c>
      <c r="B58" s="49">
        <v>43496.853000000003</v>
      </c>
      <c r="C58" s="49">
        <v>42303.536</v>
      </c>
      <c r="D58" s="27">
        <f t="shared" si="22"/>
        <v>-2.7434559461117856E-2</v>
      </c>
      <c r="E58" s="2"/>
      <c r="F58" s="49">
        <v>135.36600000000001</v>
      </c>
      <c r="G58" s="49">
        <v>274.21600000000001</v>
      </c>
      <c r="H58" s="27">
        <f t="shared" si="23"/>
        <v>1.0257376298331928</v>
      </c>
      <c r="I58" s="2"/>
      <c r="J58" s="50">
        <f>B58-F58</f>
        <v>43361.487000000001</v>
      </c>
      <c r="K58" s="50">
        <f>C58-G58</f>
        <v>42029.32</v>
      </c>
      <c r="L58" s="27">
        <f t="shared" si="24"/>
        <v>-3.0722355070526092E-2</v>
      </c>
      <c r="M58" s="2"/>
      <c r="N58" s="2"/>
      <c r="O58" s="2"/>
      <c r="P58" s="2"/>
      <c r="Q58" s="2"/>
      <c r="R58" s="2"/>
      <c r="S58" s="3"/>
      <c r="T58" s="3"/>
      <c r="U58" s="3"/>
      <c r="V58" s="2"/>
      <c r="W58" s="2"/>
      <c r="X58" s="2"/>
      <c r="Y58" s="2"/>
      <c r="Z58" s="2"/>
      <c r="AA58" s="2"/>
      <c r="AB58" s="2"/>
      <c r="AC58" s="2"/>
      <c r="AD58" s="2"/>
    </row>
    <row r="59" spans="1:30" x14ac:dyDescent="0.3">
      <c r="A59" s="29"/>
      <c r="B59" s="7" t="s">
        <v>67</v>
      </c>
      <c r="C59" s="7"/>
      <c r="D59" s="24"/>
      <c r="E59" s="2"/>
      <c r="F59" s="53"/>
      <c r="G59" s="32" t="s">
        <v>48</v>
      </c>
      <c r="H59" s="24"/>
      <c r="I59" s="2"/>
      <c r="J59" s="7" t="s">
        <v>68</v>
      </c>
      <c r="K59" s="7"/>
      <c r="L59" s="24"/>
      <c r="M59" s="2"/>
      <c r="N59" s="2"/>
      <c r="O59" s="59"/>
      <c r="P59" s="60"/>
      <c r="Q59" s="60"/>
      <c r="R59" s="2"/>
      <c r="S59" s="60"/>
      <c r="T59" s="61"/>
      <c r="U59" s="62"/>
      <c r="V59" s="2"/>
      <c r="W59" s="2"/>
      <c r="X59" s="2"/>
      <c r="Y59" s="2"/>
      <c r="Z59" s="2"/>
      <c r="AA59" s="2"/>
      <c r="AB59" s="2"/>
      <c r="AC59" s="2"/>
      <c r="AD59" s="2"/>
    </row>
    <row r="60" spans="1:30" x14ac:dyDescent="0.3">
      <c r="A60" s="22" t="s">
        <v>29</v>
      </c>
      <c r="B60" s="11" t="str">
        <f>$B$20</f>
        <v>FY 22</v>
      </c>
      <c r="C60" s="11" t="str">
        <f>$C$20</f>
        <v>FY23</v>
      </c>
      <c r="D60" s="24" t="s">
        <v>30</v>
      </c>
      <c r="E60" s="2"/>
      <c r="F60" s="11" t="str">
        <f>$B$20</f>
        <v>FY 22</v>
      </c>
      <c r="G60" s="11" t="str">
        <f>$C$20</f>
        <v>FY23</v>
      </c>
      <c r="H60" s="24" t="s">
        <v>30</v>
      </c>
      <c r="I60" s="2"/>
      <c r="J60" s="11" t="str">
        <f>$B$20</f>
        <v>FY 22</v>
      </c>
      <c r="K60" s="11" t="str">
        <f>$C$20</f>
        <v>FY23</v>
      </c>
      <c r="L60" s="24" t="s">
        <v>30</v>
      </c>
      <c r="M60" s="2"/>
      <c r="N60" s="2"/>
      <c r="O60" s="59"/>
      <c r="P60" s="60"/>
      <c r="Q60" s="60"/>
      <c r="R60" s="2"/>
      <c r="S60" s="60"/>
      <c r="T60" s="61"/>
      <c r="U60" s="62"/>
      <c r="V60" s="2"/>
      <c r="W60" s="2"/>
      <c r="X60" s="2"/>
      <c r="Y60" s="2"/>
      <c r="Z60" s="2"/>
      <c r="AA60" s="2"/>
      <c r="AB60" s="2"/>
      <c r="AC60" s="2"/>
      <c r="AD60" s="2"/>
    </row>
    <row r="61" spans="1:30" x14ac:dyDescent="0.3">
      <c r="A61" s="22" t="s">
        <v>34</v>
      </c>
      <c r="B61" s="63">
        <f>SUM(B47:B57)</f>
        <v>427764.97899999999</v>
      </c>
      <c r="C61" s="63">
        <f>SUM(C47:C57)</f>
        <v>420039.91600000003</v>
      </c>
      <c r="D61" s="64">
        <f>(C61-B61)/B61</f>
        <v>-1.8059129146240759E-2</v>
      </c>
      <c r="E61" s="65"/>
      <c r="F61" s="63">
        <f>SUM(F47:F57)</f>
        <v>5439.0129999999999</v>
      </c>
      <c r="G61" s="63">
        <f>SUM(G47:G57)</f>
        <v>3788.2039999999997</v>
      </c>
      <c r="H61" s="64">
        <f>(G61-F61)/F61</f>
        <v>-0.3035126042169784</v>
      </c>
      <c r="I61" s="65"/>
      <c r="J61" s="63">
        <f>SUM(J47:J57)</f>
        <v>422325.96600000001</v>
      </c>
      <c r="K61" s="63">
        <f>SUM(K47:K57)</f>
        <v>416251.71200000012</v>
      </c>
      <c r="L61" s="64">
        <f>(K61-J61)/J61</f>
        <v>-1.4382857055963968E-2</v>
      </c>
      <c r="M61" s="2"/>
      <c r="N61" s="2"/>
      <c r="O61" s="66"/>
      <c r="P61" s="66"/>
      <c r="Q61" s="66"/>
      <c r="R61" s="67"/>
      <c r="S61" s="66"/>
      <c r="T61" s="66"/>
      <c r="U61" s="66"/>
      <c r="V61" s="2"/>
      <c r="W61" s="2"/>
      <c r="X61" s="2"/>
      <c r="Y61" s="2"/>
      <c r="Z61" s="2"/>
      <c r="AA61" s="2"/>
      <c r="AB61" s="2"/>
      <c r="AC61" s="2"/>
      <c r="AD61" s="2"/>
    </row>
    <row r="62" spans="1:30" x14ac:dyDescent="0.3">
      <c r="A62" s="22" t="str">
        <f>A42</f>
        <v>% total</v>
      </c>
      <c r="B62" s="24">
        <f>B61/B63</f>
        <v>0.90770130308367514</v>
      </c>
      <c r="C62" s="24">
        <f>C61/C63</f>
        <v>0.90850192466876334</v>
      </c>
      <c r="D62" s="37" t="s">
        <v>36</v>
      </c>
      <c r="E62" s="2"/>
      <c r="F62" s="24">
        <f>F61/F63</f>
        <v>0.97571639818534051</v>
      </c>
      <c r="G62" s="24">
        <f>G61/G63</f>
        <v>0.93249934767946197</v>
      </c>
      <c r="H62" s="37" t="s">
        <v>36</v>
      </c>
      <c r="I62" s="2"/>
      <c r="J62" s="24">
        <f>J61/J63</f>
        <v>0.90688714776260027</v>
      </c>
      <c r="K62" s="24">
        <f>K61/K63</f>
        <v>1.0000000000000002</v>
      </c>
      <c r="L62" s="37" t="s">
        <v>36</v>
      </c>
      <c r="M62" s="2"/>
      <c r="N62" s="36"/>
      <c r="O62" s="7"/>
      <c r="P62" s="53"/>
      <c r="Q62" s="53"/>
      <c r="R62" s="7"/>
      <c r="S62" s="7"/>
      <c r="T62" s="61"/>
      <c r="U62" s="11"/>
      <c r="V62" s="2"/>
      <c r="W62" s="2"/>
      <c r="X62" s="2"/>
      <c r="Y62" s="2"/>
      <c r="Z62" s="2"/>
      <c r="AA62" s="2"/>
      <c r="AB62" s="2"/>
      <c r="AC62" s="2"/>
      <c r="AD62" s="2"/>
    </row>
    <row r="63" spans="1:30" x14ac:dyDescent="0.3">
      <c r="A63" s="22" t="str">
        <f>A43</f>
        <v>FYTotal</v>
      </c>
      <c r="B63" s="7">
        <f>SUM(B47:B58)</f>
        <v>471261.83199999999</v>
      </c>
      <c r="C63" s="7">
        <f>SUM(C47:C58)</f>
        <v>462343.45200000005</v>
      </c>
      <c r="D63" s="24">
        <f>(C63-B63)/B63</f>
        <v>-1.8924469147333676E-2</v>
      </c>
      <c r="E63" s="2"/>
      <c r="F63" s="7">
        <f>SUM(F47:F58)</f>
        <v>5574.3789999999999</v>
      </c>
      <c r="G63" s="7">
        <f>SUM(G47:G58)</f>
        <v>4062.4199999999996</v>
      </c>
      <c r="H63" s="24">
        <f>(G63-F63)/F63</f>
        <v>-0.27123362082126107</v>
      </c>
      <c r="I63" s="2"/>
      <c r="J63" s="7">
        <f>SUM(J47:J58)</f>
        <v>465687.45300000004</v>
      </c>
      <c r="K63" s="7">
        <f>+C61-G61</f>
        <v>416251.712</v>
      </c>
      <c r="L63" s="24">
        <f>(K63-J63)/J63</f>
        <v>-0.1061564804495603</v>
      </c>
      <c r="M63" s="2"/>
      <c r="N63" s="36"/>
      <c r="O63" s="7"/>
      <c r="P63" s="7"/>
      <c r="Q63" s="7"/>
      <c r="R63" s="7"/>
      <c r="S63" s="7"/>
      <c r="T63" s="61"/>
      <c r="U63" s="11"/>
      <c r="V63" s="2"/>
      <c r="W63" s="2"/>
      <c r="X63" s="2"/>
      <c r="Y63" s="2"/>
      <c r="Z63" s="2"/>
      <c r="AA63" s="2"/>
      <c r="AB63" s="2"/>
      <c r="AC63" s="2"/>
      <c r="AD63" s="2"/>
    </row>
    <row r="64" spans="1:30" x14ac:dyDescent="0.3">
      <c r="A64" s="22"/>
      <c r="B64" s="40"/>
      <c r="C64" s="25"/>
      <c r="D64" s="24"/>
      <c r="E64" s="2"/>
      <c r="F64" s="40"/>
      <c r="G64" s="25"/>
      <c r="H64" s="24"/>
      <c r="I64" s="2"/>
      <c r="J64" s="40"/>
      <c r="K64" s="25"/>
      <c r="L64" s="2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6"/>
      <c r="Z64" s="2"/>
      <c r="AA64" s="2"/>
      <c r="AB64" s="2"/>
      <c r="AC64" s="2"/>
      <c r="AD64" s="2"/>
    </row>
    <row r="65" spans="1:30" x14ac:dyDescent="0.3">
      <c r="A65" s="22"/>
      <c r="B65" s="68"/>
      <c r="C65" s="68"/>
      <c r="D65" s="39"/>
      <c r="E65" s="36"/>
      <c r="F65" s="68"/>
      <c r="G65" s="37"/>
      <c r="H65" s="39"/>
      <c r="I65" s="2"/>
      <c r="J65" s="2"/>
      <c r="K65" s="2"/>
      <c r="L65" s="3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9"/>
      <c r="AA65" s="2"/>
      <c r="AB65" s="2"/>
      <c r="AC65" s="2"/>
      <c r="AD65" s="2"/>
    </row>
    <row r="66" spans="1:30" x14ac:dyDescent="0.3">
      <c r="A66" s="2"/>
      <c r="B66" s="2"/>
      <c r="C66" s="33"/>
      <c r="D66" s="33"/>
      <c r="E66" s="33"/>
      <c r="F66" s="33"/>
      <c r="G66" s="2"/>
      <c r="H66" s="33"/>
      <c r="I66" s="33"/>
      <c r="J66" s="2"/>
      <c r="K66" s="2"/>
      <c r="L66" s="7" t="s">
        <v>3</v>
      </c>
      <c r="M66" s="2"/>
      <c r="N66" s="2"/>
      <c r="O66" s="2"/>
      <c r="P66" s="2"/>
      <c r="Q66" s="2"/>
      <c r="R66" s="33"/>
      <c r="S66" s="2"/>
      <c r="T66" s="2"/>
      <c r="U66" s="2"/>
      <c r="V66" s="2"/>
      <c r="W66" s="2"/>
      <c r="X66" s="2"/>
      <c r="Y66" s="36"/>
      <c r="Z66" s="39"/>
      <c r="AA66" s="2"/>
      <c r="AB66" s="2"/>
      <c r="AC66" s="2"/>
      <c r="AD66" s="2"/>
    </row>
    <row r="67" spans="1:30" x14ac:dyDescent="0.3">
      <c r="A67" s="69"/>
      <c r="B67" s="43"/>
      <c r="C67" s="13" t="s">
        <v>69</v>
      </c>
      <c r="D67" s="70"/>
      <c r="E67" s="71"/>
      <c r="F67" s="43"/>
      <c r="G67" s="13" t="s">
        <v>70</v>
      </c>
      <c r="H67" s="14"/>
      <c r="I67" s="72"/>
      <c r="J67" s="43"/>
      <c r="K67" s="16" t="s">
        <v>71</v>
      </c>
      <c r="L67" s="1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x14ac:dyDescent="0.3">
      <c r="A68" s="73" t="s">
        <v>11</v>
      </c>
      <c r="B68" s="21" t="str">
        <f>F46</f>
        <v>FY23</v>
      </c>
      <c r="C68" s="17" t="str">
        <f>G46</f>
        <v>FY24</v>
      </c>
      <c r="D68" s="20" t="s">
        <v>12</v>
      </c>
      <c r="E68" s="3"/>
      <c r="F68" s="21" t="str">
        <f>B68</f>
        <v>FY23</v>
      </c>
      <c r="G68" s="17" t="str">
        <f>C68</f>
        <v>FY24</v>
      </c>
      <c r="H68" s="20" t="str">
        <f>D68</f>
        <v>% chg</v>
      </c>
      <c r="I68" s="2"/>
      <c r="J68" s="47" t="str">
        <f>F68</f>
        <v>FY23</v>
      </c>
      <c r="K68" s="17" t="str">
        <f>G68</f>
        <v>FY24</v>
      </c>
      <c r="L68" s="20" t="str">
        <f>D68</f>
        <v>% chg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x14ac:dyDescent="0.3">
      <c r="A69" s="2" t="s">
        <v>13</v>
      </c>
      <c r="B69" s="74">
        <v>17.722999999999999</v>
      </c>
      <c r="C69" s="74">
        <v>477.74</v>
      </c>
      <c r="D69" s="24">
        <f t="shared" ref="D69:D80" si="28">(C69-B69)/B69</f>
        <v>25.955932968459067</v>
      </c>
      <c r="E69" s="36"/>
      <c r="F69" s="74">
        <v>54.938000000000002</v>
      </c>
      <c r="G69" s="74">
        <v>71.692999999999998</v>
      </c>
      <c r="H69" s="24">
        <f>(G69-F69)/F69</f>
        <v>0.30498015945247359</v>
      </c>
      <c r="I69" s="36"/>
      <c r="J69" s="49">
        <v>0</v>
      </c>
      <c r="K69" s="49">
        <v>0</v>
      </c>
      <c r="L69" s="24" t="e">
        <f t="shared" ref="L69:L80" si="29">(K69-J69)/J69</f>
        <v>#DIV/0!</v>
      </c>
      <c r="M69" s="2"/>
      <c r="N69" s="2"/>
      <c r="O69" s="75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x14ac:dyDescent="0.3">
      <c r="A70" s="22" t="s">
        <v>14</v>
      </c>
      <c r="B70" s="74">
        <v>19.960999999999999</v>
      </c>
      <c r="C70" s="74">
        <v>37.93</v>
      </c>
      <c r="D70" s="24">
        <f t="shared" si="28"/>
        <v>0.90020540053103559</v>
      </c>
      <c r="E70" s="24"/>
      <c r="F70" s="74">
        <v>113.872</v>
      </c>
      <c r="G70" s="74">
        <v>735.79499999999996</v>
      </c>
      <c r="H70" s="24">
        <f t="shared" ref="H70:H80" si="30">(G70-F70)/F70</f>
        <v>5.4615972319797672</v>
      </c>
      <c r="I70" s="2"/>
      <c r="J70" s="49">
        <v>0</v>
      </c>
      <c r="K70" s="49">
        <v>0</v>
      </c>
      <c r="L70" s="24" t="e">
        <f t="shared" si="29"/>
        <v>#DIV/0!</v>
      </c>
      <c r="M70" s="2"/>
      <c r="N70" s="2"/>
      <c r="O70" s="7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x14ac:dyDescent="0.3">
      <c r="A71" s="22" t="s">
        <v>15</v>
      </c>
      <c r="B71" s="74">
        <v>11.224</v>
      </c>
      <c r="C71" s="74">
        <v>7.2380000000000004</v>
      </c>
      <c r="D71" s="24">
        <f t="shared" si="28"/>
        <v>-0.3551318602993585</v>
      </c>
      <c r="E71" s="24"/>
      <c r="F71" s="74">
        <v>846.10299999999995</v>
      </c>
      <c r="G71" s="74">
        <v>142.17599999999999</v>
      </c>
      <c r="H71" s="24">
        <f>(G71-F71)/F71</f>
        <v>-0.83196372072903646</v>
      </c>
      <c r="I71" s="2"/>
      <c r="J71" s="49">
        <v>0</v>
      </c>
      <c r="K71" s="49">
        <v>0</v>
      </c>
      <c r="L71" s="24" t="e">
        <f t="shared" si="29"/>
        <v>#DIV/0!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x14ac:dyDescent="0.3">
      <c r="A72" s="22" t="s">
        <v>16</v>
      </c>
      <c r="B72" s="74">
        <v>37.774999999999999</v>
      </c>
      <c r="C72" s="74">
        <v>16.032</v>
      </c>
      <c r="D72" s="24">
        <f>(C72-B72)/B72</f>
        <v>-0.57559232296492391</v>
      </c>
      <c r="E72" s="24"/>
      <c r="F72" s="74">
        <v>553.55200000000002</v>
      </c>
      <c r="G72" s="74">
        <v>123.38</v>
      </c>
      <c r="H72" s="24">
        <f>(G72-F72)/F72</f>
        <v>-0.77711217735641824</v>
      </c>
      <c r="I72" s="2"/>
      <c r="J72" s="49">
        <v>0</v>
      </c>
      <c r="K72" s="49">
        <v>0</v>
      </c>
      <c r="L72" s="24" t="e">
        <f t="shared" si="29"/>
        <v>#DIV/0!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x14ac:dyDescent="0.3">
      <c r="A73" s="22" t="s">
        <v>17</v>
      </c>
      <c r="B73" s="74">
        <v>4.9740000000000002</v>
      </c>
      <c r="C73" s="74">
        <v>12.981</v>
      </c>
      <c r="D73" s="24">
        <f>(C73-B73)/B73</f>
        <v>1.6097708082026536</v>
      </c>
      <c r="E73" s="24"/>
      <c r="F73" s="74">
        <v>92.430999999999997</v>
      </c>
      <c r="G73" s="74">
        <v>492.32499999999999</v>
      </c>
      <c r="H73" s="24">
        <f>(G73-F73)/F73</f>
        <v>4.3264056431283882</v>
      </c>
      <c r="I73" s="2"/>
      <c r="J73" s="49">
        <v>7.6999999999999999E-2</v>
      </c>
      <c r="K73" s="49">
        <v>0</v>
      </c>
      <c r="L73" s="24">
        <f t="shared" si="29"/>
        <v>-1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x14ac:dyDescent="0.3">
      <c r="A74" s="22" t="s">
        <v>18</v>
      </c>
      <c r="B74" s="74">
        <v>18.927</v>
      </c>
      <c r="C74" s="74">
        <v>2.871</v>
      </c>
      <c r="D74" s="24">
        <f>(C74-B74)/B74</f>
        <v>-0.84831193533048033</v>
      </c>
      <c r="E74" s="24"/>
      <c r="F74" s="74">
        <v>141.71600000000001</v>
      </c>
      <c r="G74" s="74">
        <v>103.086</v>
      </c>
      <c r="H74" s="24">
        <f t="shared" si="30"/>
        <v>-0.27258742837788258</v>
      </c>
      <c r="I74" s="2"/>
      <c r="J74" s="49">
        <v>0</v>
      </c>
      <c r="K74" s="49">
        <v>0</v>
      </c>
      <c r="L74" s="24" t="e">
        <f t="shared" si="29"/>
        <v>#DIV/0!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x14ac:dyDescent="0.3">
      <c r="A75" s="22" t="s">
        <v>19</v>
      </c>
      <c r="B75" s="74">
        <v>116.348</v>
      </c>
      <c r="C75" s="74">
        <v>161.39500000000001</v>
      </c>
      <c r="D75" s="24">
        <f t="shared" si="28"/>
        <v>0.38717468284800782</v>
      </c>
      <c r="E75" s="24"/>
      <c r="F75" s="74">
        <v>1472.325</v>
      </c>
      <c r="G75" s="74">
        <v>821.95</v>
      </c>
      <c r="H75" s="24">
        <f t="shared" si="30"/>
        <v>-0.44173331295739732</v>
      </c>
      <c r="I75" s="2"/>
      <c r="J75" s="49">
        <v>0</v>
      </c>
      <c r="K75" s="49">
        <v>0</v>
      </c>
      <c r="L75" s="24" t="e">
        <f t="shared" si="29"/>
        <v>#DIV/0!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x14ac:dyDescent="0.3">
      <c r="A76" s="22" t="s">
        <v>20</v>
      </c>
      <c r="B76" s="74">
        <v>28.125</v>
      </c>
      <c r="C76" s="74">
        <v>31.655999999999999</v>
      </c>
      <c r="D76" s="24">
        <f t="shared" si="28"/>
        <v>0.12554666666666661</v>
      </c>
      <c r="E76" s="24"/>
      <c r="F76" s="74">
        <v>1168.377</v>
      </c>
      <c r="G76" s="74">
        <v>132.37</v>
      </c>
      <c r="H76" s="24">
        <f t="shared" si="30"/>
        <v>-0.88670608887371127</v>
      </c>
      <c r="I76" s="2"/>
      <c r="J76" s="49">
        <v>0</v>
      </c>
      <c r="K76" s="49">
        <v>0</v>
      </c>
      <c r="L76" s="24" t="e">
        <f t="shared" si="29"/>
        <v>#DIV/0!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x14ac:dyDescent="0.3">
      <c r="A77" s="22" t="s">
        <v>21</v>
      </c>
      <c r="B77" s="74">
        <v>68.477999999999994</v>
      </c>
      <c r="C77" s="74">
        <v>33.825000000000003</v>
      </c>
      <c r="D77" s="24">
        <f t="shared" si="28"/>
        <v>-0.50604573731709446</v>
      </c>
      <c r="E77" s="24"/>
      <c r="F77" s="74">
        <v>161</v>
      </c>
      <c r="G77" s="74">
        <v>159.28700000000001</v>
      </c>
      <c r="H77" s="24">
        <f t="shared" si="30"/>
        <v>-1.0639751552794993E-2</v>
      </c>
      <c r="I77" s="2"/>
      <c r="J77" s="49">
        <v>0</v>
      </c>
      <c r="K77" s="49">
        <v>0</v>
      </c>
      <c r="L77" s="24" t="e">
        <f t="shared" si="29"/>
        <v>#DIV/0!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x14ac:dyDescent="0.3">
      <c r="A78" s="22" t="s">
        <v>22</v>
      </c>
      <c r="B78" s="74">
        <v>11.646000000000001</v>
      </c>
      <c r="C78" s="74">
        <v>13.92</v>
      </c>
      <c r="D78" s="24">
        <f t="shared" si="28"/>
        <v>0.19526017516743938</v>
      </c>
      <c r="E78" s="24"/>
      <c r="F78" s="74">
        <v>272.31900000000002</v>
      </c>
      <c r="G78" s="74">
        <v>72.798000000000002</v>
      </c>
      <c r="H78" s="24">
        <f t="shared" si="30"/>
        <v>-0.73267381269760834</v>
      </c>
      <c r="I78" s="2"/>
      <c r="J78" s="49">
        <v>0</v>
      </c>
      <c r="K78" s="49">
        <v>0</v>
      </c>
      <c r="L78" s="24" t="e">
        <f t="shared" si="29"/>
        <v>#DIV/0!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x14ac:dyDescent="0.3">
      <c r="A79" s="22" t="s">
        <v>72</v>
      </c>
      <c r="B79" s="74">
        <v>26.797000000000001</v>
      </c>
      <c r="C79" s="74">
        <v>15.337999999999999</v>
      </c>
      <c r="D79" s="24">
        <f t="shared" si="28"/>
        <v>-0.42762249505541672</v>
      </c>
      <c r="E79" s="24"/>
      <c r="F79" s="74">
        <v>200.34899999999999</v>
      </c>
      <c r="G79" s="74">
        <v>122.42</v>
      </c>
      <c r="H79" s="24">
        <f t="shared" si="30"/>
        <v>-0.38896625388696721</v>
      </c>
      <c r="I79" s="2"/>
      <c r="J79" s="49">
        <v>0</v>
      </c>
      <c r="K79" s="49">
        <v>0</v>
      </c>
      <c r="L79" s="24" t="e">
        <f t="shared" si="29"/>
        <v>#DIV/0!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x14ac:dyDescent="0.3">
      <c r="A80" s="22" t="s">
        <v>24</v>
      </c>
      <c r="B80" s="74">
        <v>8.5890000000000004</v>
      </c>
      <c r="C80" s="74">
        <v>24.771000000000001</v>
      </c>
      <c r="D80" s="27">
        <f t="shared" si="28"/>
        <v>1.8840377226685296</v>
      </c>
      <c r="E80" s="2"/>
      <c r="F80" s="74">
        <v>126.777</v>
      </c>
      <c r="G80" s="74">
        <v>249.44499999999999</v>
      </c>
      <c r="H80" s="27">
        <f t="shared" si="30"/>
        <v>0.96758875821324053</v>
      </c>
      <c r="I80" s="2"/>
      <c r="J80" s="50">
        <v>0</v>
      </c>
      <c r="K80" s="50">
        <v>0</v>
      </c>
      <c r="L80" s="27" t="e">
        <f t="shared" si="29"/>
        <v>#DIV/0!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x14ac:dyDescent="0.3">
      <c r="A81" s="29" t="s">
        <v>73</v>
      </c>
      <c r="B81" s="7"/>
      <c r="C81" s="7"/>
      <c r="D81" s="24"/>
      <c r="E81" s="2"/>
      <c r="F81" s="7" t="s">
        <v>74</v>
      </c>
      <c r="G81" s="7"/>
      <c r="H81" s="24"/>
      <c r="I81" s="2"/>
      <c r="J81" s="7" t="s">
        <v>75</v>
      </c>
      <c r="K81" s="7"/>
      <c r="L81" s="2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x14ac:dyDescent="0.3">
      <c r="A82" s="2" t="s">
        <v>29</v>
      </c>
      <c r="B82" s="11" t="str">
        <f>$B$20</f>
        <v>FY 22</v>
      </c>
      <c r="C82" s="11" t="str">
        <f>$C$20</f>
        <v>FY23</v>
      </c>
      <c r="D82" s="24" t="s">
        <v>32</v>
      </c>
      <c r="E82" s="2"/>
      <c r="F82" s="11" t="str">
        <f>$B$20</f>
        <v>FY 22</v>
      </c>
      <c r="G82" s="11" t="str">
        <f>$C$20</f>
        <v>FY23</v>
      </c>
      <c r="H82" s="24" t="s">
        <v>32</v>
      </c>
      <c r="I82" s="2"/>
      <c r="J82" s="11" t="str">
        <f>$B$20</f>
        <v>FY 22</v>
      </c>
      <c r="K82" s="11" t="str">
        <f>$C$20</f>
        <v>FY23</v>
      </c>
      <c r="L82" s="24" t="s">
        <v>32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x14ac:dyDescent="0.3">
      <c r="A83" s="22" t="s">
        <v>34</v>
      </c>
      <c r="B83" s="7">
        <f>SUM(B69:B79)</f>
        <v>361.97800000000007</v>
      </c>
      <c r="C83" s="7">
        <f>SUM(C69:C79)</f>
        <v>810.92599999999993</v>
      </c>
      <c r="D83" s="24">
        <f>(C83-B83)/B83</f>
        <v>1.2402632204167099</v>
      </c>
      <c r="E83" s="33"/>
      <c r="F83" s="7">
        <f>SUM(F69:F79)</f>
        <v>5076.9820000000009</v>
      </c>
      <c r="G83" s="7">
        <f>SUM(G69:G79)</f>
        <v>2977.2799999999997</v>
      </c>
      <c r="H83" s="24">
        <f>(G83-F83)/F83</f>
        <v>-0.41357286671491073</v>
      </c>
      <c r="I83" s="2"/>
      <c r="J83" s="7">
        <f>SUM(J69:J79)</f>
        <v>7.6999999999999999E-2</v>
      </c>
      <c r="K83" s="7">
        <f>SUM(K69:K79)</f>
        <v>0</v>
      </c>
      <c r="L83" s="24">
        <f>(K83-J83)/J83</f>
        <v>-1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x14ac:dyDescent="0.3">
      <c r="A84" s="22" t="s">
        <v>35</v>
      </c>
      <c r="B84" s="24">
        <f>B83/B85</f>
        <v>0.97682200519744067</v>
      </c>
      <c r="C84" s="24">
        <f>C83/C85</f>
        <v>0.97035887408953247</v>
      </c>
      <c r="D84" s="35" t="s">
        <v>36</v>
      </c>
      <c r="E84" s="2"/>
      <c r="F84" s="24">
        <f>F83/F85</f>
        <v>0.97563741902728396</v>
      </c>
      <c r="G84" s="24">
        <f>G83/G85</f>
        <v>0.92269406286559896</v>
      </c>
      <c r="H84" s="35" t="s">
        <v>36</v>
      </c>
      <c r="I84" s="2"/>
      <c r="J84" s="24">
        <f>J83/J85</f>
        <v>1</v>
      </c>
      <c r="K84" s="24" t="e">
        <f>K83/K85</f>
        <v>#DIV/0!</v>
      </c>
      <c r="L84" s="3" t="s">
        <v>36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x14ac:dyDescent="0.3">
      <c r="A85" s="22" t="s">
        <v>37</v>
      </c>
      <c r="B85" s="7">
        <f>SUM(B69:B80)</f>
        <v>370.56700000000006</v>
      </c>
      <c r="C85" s="7">
        <f>SUM(C69:C80)</f>
        <v>835.69699999999989</v>
      </c>
      <c r="D85" s="24">
        <f>(C85-B85)/B85</f>
        <v>1.2551846224839225</v>
      </c>
      <c r="E85" s="33"/>
      <c r="F85" s="7">
        <f>SUM(F69:F80)</f>
        <v>5203.7590000000009</v>
      </c>
      <c r="G85" s="7">
        <f>SUM(G69:G80)</f>
        <v>3226.7249999999999</v>
      </c>
      <c r="H85" s="24">
        <f>(G85-F85)/F85</f>
        <v>-0.37992420479119049</v>
      </c>
      <c r="I85" s="33"/>
      <c r="J85" s="7">
        <f>SUM(J69:J80)</f>
        <v>7.6999999999999999E-2</v>
      </c>
      <c r="K85" s="7">
        <f>SUM(K69:K80)</f>
        <v>0</v>
      </c>
      <c r="L85" s="24">
        <f>(K85-J85)/J85</f>
        <v>-1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x14ac:dyDescent="0.3">
      <c r="A87" s="2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Justice [KDOR]</dc:creator>
  <cp:lastModifiedBy>Adam J. Thew [KDOR]</cp:lastModifiedBy>
  <cp:lastPrinted>2023-03-13T16:42:09Z</cp:lastPrinted>
  <dcterms:created xsi:type="dcterms:W3CDTF">2022-09-19T18:42:05Z</dcterms:created>
  <dcterms:modified xsi:type="dcterms:W3CDTF">2025-05-28T16:28:30Z</dcterms:modified>
</cp:coreProperties>
</file>