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pandrfs\Policy and Research\KEGAN\Reporting Duties\FHWA report duties\6 FHWA551M_motor_fuel\Archive-551m\"/>
    </mc:Choice>
  </mc:AlternateContent>
  <xr:revisionPtr revIDLastSave="0" documentId="13_ncr:1_{4C51B259-4A51-4F3A-B52A-BD7F1C1BB2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n20" sheetId="1" r:id="rId1"/>
    <sheet name="Feb20" sheetId="2" r:id="rId2"/>
    <sheet name="Mar20" sheetId="3" r:id="rId3"/>
    <sheet name="Apr20" sheetId="4" r:id="rId4"/>
    <sheet name="May20" sheetId="5" r:id="rId5"/>
    <sheet name="June20" sheetId="6" r:id="rId6"/>
    <sheet name="Jul20" sheetId="7" r:id="rId7"/>
    <sheet name="Aug20" sheetId="8" r:id="rId8"/>
    <sheet name="Sep20" sheetId="9" r:id="rId9"/>
    <sheet name="Oct20" sheetId="10" r:id="rId10"/>
    <sheet name="Nov20" sheetId="11" r:id="rId11"/>
    <sheet name="Dec20" sheetId="12" r:id="rId12"/>
    <sheet name="551m2020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2" l="1"/>
  <c r="F85" i="12"/>
  <c r="F18" i="12" s="1"/>
  <c r="D14" i="12"/>
  <c r="F14" i="12"/>
  <c r="F85" i="9" l="1"/>
  <c r="D28" i="7" l="1"/>
  <c r="F85" i="6" l="1"/>
  <c r="F85" i="3" l="1"/>
  <c r="D35" i="13" l="1"/>
  <c r="G36" i="13"/>
  <c r="F36" i="13"/>
  <c r="E36" i="13"/>
  <c r="D36" i="13"/>
  <c r="G35" i="13"/>
  <c r="F35" i="13"/>
  <c r="E35" i="13"/>
  <c r="G34" i="13"/>
  <c r="F34" i="13"/>
  <c r="E34" i="13"/>
  <c r="D34" i="13"/>
  <c r="G33" i="13"/>
  <c r="F33" i="13"/>
  <c r="E33" i="13"/>
  <c r="D33" i="13"/>
  <c r="G32" i="13"/>
  <c r="F32" i="13"/>
  <c r="E32" i="13"/>
  <c r="D32" i="13"/>
  <c r="G31" i="13"/>
  <c r="F31" i="13"/>
  <c r="E31" i="13"/>
  <c r="D31" i="13"/>
  <c r="G30" i="13"/>
  <c r="F30" i="13"/>
  <c r="E30" i="13"/>
  <c r="D30" i="13"/>
  <c r="G24" i="13"/>
  <c r="F24" i="13"/>
  <c r="E24" i="13"/>
  <c r="D24" i="13"/>
  <c r="G23" i="13"/>
  <c r="F23" i="13"/>
  <c r="E23" i="13"/>
  <c r="D23" i="13"/>
  <c r="G22" i="13"/>
  <c r="F22" i="13"/>
  <c r="E22" i="13"/>
  <c r="D22" i="13"/>
  <c r="G21" i="13"/>
  <c r="F21" i="13"/>
  <c r="E21" i="13"/>
  <c r="D21" i="13"/>
  <c r="G20" i="13"/>
  <c r="F20" i="13"/>
  <c r="E20" i="13"/>
  <c r="D20" i="13"/>
  <c r="G19" i="13"/>
  <c r="F19" i="13"/>
  <c r="E19" i="13"/>
  <c r="D19" i="13"/>
  <c r="H18" i="13"/>
  <c r="G18" i="13"/>
  <c r="E18" i="13"/>
  <c r="D18" i="13"/>
  <c r="H17" i="13"/>
  <c r="G17" i="13"/>
  <c r="F17" i="13"/>
  <c r="E17" i="13"/>
  <c r="D17" i="13"/>
  <c r="H16" i="13"/>
  <c r="G16" i="13"/>
  <c r="F16" i="13"/>
  <c r="E16" i="13"/>
  <c r="D16" i="13"/>
  <c r="H15" i="13"/>
  <c r="G15" i="13"/>
  <c r="F15" i="13"/>
  <c r="E15" i="13"/>
  <c r="D15" i="13"/>
  <c r="H70" i="6" l="1"/>
  <c r="F85" i="5" l="1"/>
  <c r="D14" i="3" l="1"/>
  <c r="F85" i="2" l="1"/>
  <c r="D14" i="11" l="1"/>
  <c r="F18" i="9" l="1"/>
  <c r="F18" i="3" l="1"/>
  <c r="D28" i="3" l="1"/>
  <c r="D29" i="3" l="1"/>
  <c r="D28" i="2"/>
  <c r="F18" i="1" l="1"/>
  <c r="B87" i="12" l="1"/>
  <c r="H72" i="12"/>
  <c r="H71" i="12"/>
  <c r="H70" i="12"/>
  <c r="H69" i="12"/>
  <c r="H68" i="12"/>
  <c r="H67" i="12"/>
  <c r="G47" i="12"/>
  <c r="F47" i="12"/>
  <c r="E47" i="12"/>
  <c r="D47" i="12"/>
  <c r="H39" i="12"/>
  <c r="H38" i="12"/>
  <c r="H37" i="12"/>
  <c r="H36" i="12"/>
  <c r="H35" i="12"/>
  <c r="H34" i="12"/>
  <c r="H33" i="12"/>
  <c r="H32" i="12"/>
  <c r="H31" i="12"/>
  <c r="H30" i="12"/>
  <c r="G28" i="12"/>
  <c r="F28" i="12"/>
  <c r="E28" i="12"/>
  <c r="D28" i="12"/>
  <c r="H27" i="12"/>
  <c r="H26" i="12"/>
  <c r="H25" i="12"/>
  <c r="H24" i="12"/>
  <c r="H23" i="12"/>
  <c r="H22" i="12"/>
  <c r="H21" i="12"/>
  <c r="H20" i="12"/>
  <c r="H19" i="12"/>
  <c r="G91" i="12"/>
  <c r="E14" i="12"/>
  <c r="E84" i="12" s="1"/>
  <c r="D29" i="12" l="1"/>
  <c r="D48" i="12" s="1"/>
  <c r="D57" i="12" s="1"/>
  <c r="E29" i="12"/>
  <c r="E48" i="12" s="1"/>
  <c r="E57" i="12" s="1"/>
  <c r="H47" i="12"/>
  <c r="F29" i="12"/>
  <c r="H28" i="12"/>
  <c r="F91" i="12"/>
  <c r="H91" i="12" s="1"/>
  <c r="E87" i="12"/>
  <c r="G29" i="12"/>
  <c r="G48" i="12" s="1"/>
  <c r="G57" i="12" s="1"/>
  <c r="H14" i="12"/>
  <c r="D28" i="11"/>
  <c r="B87" i="11"/>
  <c r="H72" i="11"/>
  <c r="H71" i="11"/>
  <c r="H70" i="11"/>
  <c r="H69" i="11"/>
  <c r="H68" i="11"/>
  <c r="H67" i="11"/>
  <c r="G47" i="11"/>
  <c r="F47" i="11"/>
  <c r="E47" i="11"/>
  <c r="D47" i="11"/>
  <c r="H39" i="11"/>
  <c r="H38" i="11"/>
  <c r="H37" i="11"/>
  <c r="H36" i="11"/>
  <c r="H35" i="11"/>
  <c r="H34" i="11"/>
  <c r="H33" i="11"/>
  <c r="H32" i="11"/>
  <c r="H31" i="11"/>
  <c r="H30" i="11"/>
  <c r="G28" i="11"/>
  <c r="F28" i="11"/>
  <c r="E28" i="11"/>
  <c r="H27" i="11"/>
  <c r="H26" i="11"/>
  <c r="H25" i="11"/>
  <c r="H24" i="11"/>
  <c r="H23" i="11"/>
  <c r="H22" i="11"/>
  <c r="H21" i="11"/>
  <c r="H20" i="11"/>
  <c r="H19" i="11"/>
  <c r="F18" i="11"/>
  <c r="G14" i="11"/>
  <c r="G91" i="11" s="1"/>
  <c r="F14" i="11"/>
  <c r="F91" i="11" s="1"/>
  <c r="E14" i="11"/>
  <c r="F48" i="12" l="1"/>
  <c r="F57" i="12" s="1"/>
  <c r="F84" i="12"/>
  <c r="F87" i="12" s="1"/>
  <c r="H29" i="12"/>
  <c r="H91" i="11"/>
  <c r="E84" i="11"/>
  <c r="E87" i="11" s="1"/>
  <c r="E29" i="11"/>
  <c r="E48" i="11" s="1"/>
  <c r="E57" i="11" s="1"/>
  <c r="H47" i="11"/>
  <c r="H28" i="11"/>
  <c r="H14" i="11"/>
  <c r="D29" i="11"/>
  <c r="D48" i="11" s="1"/>
  <c r="G29" i="11"/>
  <c r="G48" i="11" s="1"/>
  <c r="G57" i="11" s="1"/>
  <c r="F29" i="11"/>
  <c r="B87" i="10"/>
  <c r="H72" i="10"/>
  <c r="H71" i="10"/>
  <c r="H70" i="10"/>
  <c r="H69" i="10"/>
  <c r="H68" i="10"/>
  <c r="H67" i="10"/>
  <c r="G47" i="10"/>
  <c r="F47" i="10"/>
  <c r="E47" i="10"/>
  <c r="D47" i="10"/>
  <c r="H39" i="10"/>
  <c r="H38" i="10"/>
  <c r="H37" i="10"/>
  <c r="H36" i="10"/>
  <c r="H35" i="10"/>
  <c r="H34" i="10"/>
  <c r="H33" i="10"/>
  <c r="H32" i="10"/>
  <c r="H31" i="10"/>
  <c r="H30" i="10"/>
  <c r="G28" i="10"/>
  <c r="F28" i="10"/>
  <c r="E28" i="10"/>
  <c r="D28" i="10"/>
  <c r="H27" i="10"/>
  <c r="H26" i="10"/>
  <c r="H25" i="10"/>
  <c r="H24" i="10"/>
  <c r="H23" i="10"/>
  <c r="H22" i="10"/>
  <c r="H21" i="10"/>
  <c r="H20" i="10"/>
  <c r="H19" i="10"/>
  <c r="F18" i="10"/>
  <c r="G14" i="10"/>
  <c r="G91" i="10" s="1"/>
  <c r="F14" i="10"/>
  <c r="F91" i="10" s="1"/>
  <c r="E14" i="10"/>
  <c r="D14" i="10"/>
  <c r="H48" i="12" l="1"/>
  <c r="H57" i="12" s="1"/>
  <c r="H91" i="10"/>
  <c r="H47" i="10"/>
  <c r="H29" i="11"/>
  <c r="F84" i="11"/>
  <c r="F87" i="11" s="1"/>
  <c r="F48" i="11"/>
  <c r="F57" i="11" s="1"/>
  <c r="D57" i="11"/>
  <c r="H28" i="10"/>
  <c r="D29" i="10"/>
  <c r="D48" i="10" s="1"/>
  <c r="D57" i="10" s="1"/>
  <c r="E84" i="10"/>
  <c r="E87" i="10" s="1"/>
  <c r="E29" i="10"/>
  <c r="E48" i="10" s="1"/>
  <c r="E57" i="10" s="1"/>
  <c r="F29" i="10"/>
  <c r="F48" i="10" s="1"/>
  <c r="F57" i="10" s="1"/>
  <c r="G29" i="10"/>
  <c r="G48" i="10" s="1"/>
  <c r="G57" i="10" s="1"/>
  <c r="H14" i="10"/>
  <c r="H48" i="11" l="1"/>
  <c r="H57" i="11" s="1"/>
  <c r="H29" i="10"/>
  <c r="F84" i="10"/>
  <c r="F87" i="10" s="1"/>
  <c r="H48" i="10"/>
  <c r="H57" i="10" s="1"/>
  <c r="B87" i="9"/>
  <c r="H72" i="9"/>
  <c r="H71" i="9"/>
  <c r="H70" i="9"/>
  <c r="H69" i="9"/>
  <c r="H68" i="9"/>
  <c r="H67" i="9"/>
  <c r="G47" i="9"/>
  <c r="F47" i="9"/>
  <c r="E47" i="9"/>
  <c r="D47" i="9"/>
  <c r="H39" i="9"/>
  <c r="H38" i="9"/>
  <c r="H37" i="9"/>
  <c r="H36" i="9"/>
  <c r="H35" i="9"/>
  <c r="H34" i="9"/>
  <c r="H33" i="9"/>
  <c r="H32" i="9"/>
  <c r="H31" i="9"/>
  <c r="H30" i="9"/>
  <c r="G28" i="9"/>
  <c r="F28" i="9"/>
  <c r="E28" i="9"/>
  <c r="D28" i="9"/>
  <c r="H27" i="9"/>
  <c r="H26" i="9"/>
  <c r="H25" i="9"/>
  <c r="H24" i="9"/>
  <c r="H23" i="9"/>
  <c r="H22" i="9"/>
  <c r="H21" i="9"/>
  <c r="H20" i="9"/>
  <c r="H19" i="9"/>
  <c r="G14" i="9"/>
  <c r="G91" i="9" s="1"/>
  <c r="F14" i="9"/>
  <c r="F91" i="9" s="1"/>
  <c r="E14" i="9"/>
  <c r="D14" i="9"/>
  <c r="E84" i="9" l="1"/>
  <c r="E87" i="9" s="1"/>
  <c r="E29" i="9"/>
  <c r="E48" i="9" s="1"/>
  <c r="E57" i="9" s="1"/>
  <c r="H91" i="9"/>
  <c r="H47" i="9"/>
  <c r="H28" i="9"/>
  <c r="H14" i="9"/>
  <c r="D29" i="9"/>
  <c r="D48" i="9" s="1"/>
  <c r="F29" i="9"/>
  <c r="F48" i="9" s="1"/>
  <c r="F57" i="9" s="1"/>
  <c r="G29" i="9"/>
  <c r="G48" i="9" s="1"/>
  <c r="G57" i="9" s="1"/>
  <c r="B87" i="8"/>
  <c r="H72" i="8"/>
  <c r="H71" i="8"/>
  <c r="H70" i="8"/>
  <c r="H69" i="8"/>
  <c r="H68" i="8"/>
  <c r="H67" i="8"/>
  <c r="G47" i="8"/>
  <c r="F47" i="8"/>
  <c r="E47" i="8"/>
  <c r="D47" i="8"/>
  <c r="H39" i="8"/>
  <c r="H38" i="8"/>
  <c r="H37" i="8"/>
  <c r="H36" i="8"/>
  <c r="H35" i="8"/>
  <c r="H34" i="8"/>
  <c r="H33" i="8"/>
  <c r="H32" i="8"/>
  <c r="H31" i="8"/>
  <c r="H30" i="8"/>
  <c r="G28" i="8"/>
  <c r="F28" i="8"/>
  <c r="E28" i="8"/>
  <c r="D28" i="8"/>
  <c r="H27" i="8"/>
  <c r="H26" i="8"/>
  <c r="H25" i="8"/>
  <c r="H24" i="8"/>
  <c r="H23" i="8"/>
  <c r="H22" i="8"/>
  <c r="H21" i="8"/>
  <c r="H20" i="8"/>
  <c r="H19" i="8"/>
  <c r="F18" i="8"/>
  <c r="G14" i="8"/>
  <c r="G91" i="8" s="1"/>
  <c r="F14" i="8"/>
  <c r="F91" i="8" s="1"/>
  <c r="E14" i="8"/>
  <c r="D14" i="8"/>
  <c r="E29" i="8" l="1"/>
  <c r="E48" i="8" s="1"/>
  <c r="E57" i="8" s="1"/>
  <c r="H91" i="8"/>
  <c r="H29" i="9"/>
  <c r="D57" i="9"/>
  <c r="H48" i="9"/>
  <c r="H57" i="9" s="1"/>
  <c r="F84" i="9"/>
  <c r="F87" i="9" s="1"/>
  <c r="D29" i="8"/>
  <c r="D48" i="8" s="1"/>
  <c r="D57" i="8" s="1"/>
  <c r="H28" i="8"/>
  <c r="H47" i="8"/>
  <c r="G29" i="8"/>
  <c r="G48" i="8" s="1"/>
  <c r="G57" i="8" s="1"/>
  <c r="E84" i="8"/>
  <c r="E87" i="8" s="1"/>
  <c r="F29" i="8"/>
  <c r="H14" i="8"/>
  <c r="F14" i="7"/>
  <c r="H29" i="8" l="1"/>
  <c r="F48" i="8"/>
  <c r="F84" i="8"/>
  <c r="F87" i="8" s="1"/>
  <c r="D14" i="7"/>
  <c r="F57" i="8" l="1"/>
  <c r="H48" i="8"/>
  <c r="H57" i="8" s="1"/>
  <c r="B87" i="7"/>
  <c r="H72" i="7"/>
  <c r="H71" i="7"/>
  <c r="H70" i="7"/>
  <c r="H69" i="7"/>
  <c r="H68" i="7"/>
  <c r="H67" i="7"/>
  <c r="G47" i="7"/>
  <c r="F47" i="7"/>
  <c r="E47" i="7"/>
  <c r="D47" i="7"/>
  <c r="H39" i="7"/>
  <c r="H38" i="7"/>
  <c r="H37" i="7"/>
  <c r="H36" i="7"/>
  <c r="H35" i="7"/>
  <c r="H34" i="7"/>
  <c r="H33" i="7"/>
  <c r="H32" i="7"/>
  <c r="H31" i="7"/>
  <c r="H30" i="7"/>
  <c r="G28" i="7"/>
  <c r="F28" i="7"/>
  <c r="E28" i="7"/>
  <c r="H27" i="7"/>
  <c r="H26" i="7"/>
  <c r="H25" i="7"/>
  <c r="H24" i="7"/>
  <c r="H23" i="7"/>
  <c r="H22" i="7"/>
  <c r="H21" i="7"/>
  <c r="H20" i="7"/>
  <c r="H19" i="7"/>
  <c r="F18" i="7"/>
  <c r="G14" i="7"/>
  <c r="G91" i="7" s="1"/>
  <c r="F91" i="7"/>
  <c r="E14" i="7"/>
  <c r="H47" i="7" l="1"/>
  <c r="E29" i="7"/>
  <c r="E48" i="7" s="1"/>
  <c r="E57" i="7" s="1"/>
  <c r="H28" i="7"/>
  <c r="D29" i="7"/>
  <c r="D48" i="7" s="1"/>
  <c r="D57" i="7" s="1"/>
  <c r="H91" i="7"/>
  <c r="H14" i="7"/>
  <c r="E84" i="7"/>
  <c r="E87" i="7" s="1"/>
  <c r="F29" i="7"/>
  <c r="F48" i="7" s="1"/>
  <c r="F57" i="7" s="1"/>
  <c r="G29" i="7"/>
  <c r="G48" i="7" s="1"/>
  <c r="G57" i="7" s="1"/>
  <c r="H29" i="7" l="1"/>
  <c r="F84" i="7"/>
  <c r="F87" i="7" s="1"/>
  <c r="H48" i="7"/>
  <c r="H57" i="7" s="1"/>
  <c r="B87" i="6"/>
  <c r="F18" i="6"/>
  <c r="H72" i="6"/>
  <c r="H71" i="6"/>
  <c r="H69" i="6"/>
  <c r="H68" i="6"/>
  <c r="H67" i="6"/>
  <c r="G47" i="6"/>
  <c r="F47" i="6"/>
  <c r="E47" i="6"/>
  <c r="D47" i="6"/>
  <c r="H39" i="6"/>
  <c r="H38" i="6"/>
  <c r="H37" i="6"/>
  <c r="H36" i="6"/>
  <c r="H35" i="6"/>
  <c r="H34" i="6"/>
  <c r="H33" i="6"/>
  <c r="H32" i="6"/>
  <c r="H31" i="6"/>
  <c r="H30" i="6"/>
  <c r="G28" i="6"/>
  <c r="F28" i="6"/>
  <c r="E28" i="6"/>
  <c r="D28" i="6"/>
  <c r="H27" i="6"/>
  <c r="H26" i="6"/>
  <c r="H25" i="6"/>
  <c r="H24" i="6"/>
  <c r="H23" i="6"/>
  <c r="H22" i="6"/>
  <c r="H21" i="6"/>
  <c r="H20" i="6"/>
  <c r="H19" i="6"/>
  <c r="G14" i="6"/>
  <c r="F14" i="6"/>
  <c r="E14" i="6"/>
  <c r="D14" i="6"/>
  <c r="G29" i="6" l="1"/>
  <c r="G48" i="6" s="1"/>
  <c r="G57" i="6" s="1"/>
  <c r="F29" i="6"/>
  <c r="F48" i="6" s="1"/>
  <c r="F57" i="6" s="1"/>
  <c r="H47" i="6"/>
  <c r="E29" i="6"/>
  <c r="E48" i="6" s="1"/>
  <c r="E57" i="6" s="1"/>
  <c r="H28" i="6"/>
  <c r="E84" i="6"/>
  <c r="E87" i="6" s="1"/>
  <c r="F91" i="6"/>
  <c r="G91" i="6"/>
  <c r="H14" i="6"/>
  <c r="D29" i="6"/>
  <c r="D48" i="6" s="1"/>
  <c r="F84" i="6" l="1"/>
  <c r="F87" i="6" s="1"/>
  <c r="H29" i="6"/>
  <c r="H91" i="6"/>
  <c r="D57" i="6"/>
  <c r="H48" i="6"/>
  <c r="H57" i="6" s="1"/>
  <c r="B87" i="5"/>
  <c r="F18" i="5"/>
  <c r="H72" i="5"/>
  <c r="H71" i="5"/>
  <c r="H70" i="5"/>
  <c r="H69" i="5"/>
  <c r="H68" i="5"/>
  <c r="H67" i="5"/>
  <c r="G47" i="5"/>
  <c r="F47" i="5"/>
  <c r="E47" i="5"/>
  <c r="D47" i="5"/>
  <c r="H39" i="5"/>
  <c r="H38" i="5"/>
  <c r="H37" i="5"/>
  <c r="H36" i="5"/>
  <c r="H35" i="5"/>
  <c r="H34" i="5"/>
  <c r="H33" i="5"/>
  <c r="H32" i="5"/>
  <c r="H31" i="5"/>
  <c r="H30" i="5"/>
  <c r="G28" i="5"/>
  <c r="F28" i="5"/>
  <c r="E28" i="5"/>
  <c r="D28" i="5"/>
  <c r="H27" i="5"/>
  <c r="H26" i="5"/>
  <c r="H25" i="5"/>
  <c r="H24" i="5"/>
  <c r="H23" i="5"/>
  <c r="H22" i="5"/>
  <c r="H21" i="5"/>
  <c r="H20" i="5"/>
  <c r="H19" i="5"/>
  <c r="G14" i="5"/>
  <c r="F14" i="5"/>
  <c r="F91" i="5" s="1"/>
  <c r="E14" i="5"/>
  <c r="D14" i="5"/>
  <c r="G29" i="5" l="1"/>
  <c r="G48" i="5" s="1"/>
  <c r="G57" i="5" s="1"/>
  <c r="E29" i="5"/>
  <c r="E48" i="5" s="1"/>
  <c r="E57" i="5" s="1"/>
  <c r="F29" i="5"/>
  <c r="F84" i="5" s="1"/>
  <c r="F87" i="5" s="1"/>
  <c r="H47" i="5"/>
  <c r="E84" i="5"/>
  <c r="E87" i="5" s="1"/>
  <c r="H28" i="5"/>
  <c r="H14" i="5"/>
  <c r="D29" i="5"/>
  <c r="D48" i="5" s="1"/>
  <c r="G91" i="5"/>
  <c r="H91" i="5" s="1"/>
  <c r="F48" i="5" l="1"/>
  <c r="F57" i="5" s="1"/>
  <c r="H29" i="5"/>
  <c r="D57" i="5"/>
  <c r="F85" i="4"/>
  <c r="F18" i="4" s="1"/>
  <c r="B87" i="4"/>
  <c r="H72" i="4"/>
  <c r="H71" i="4"/>
  <c r="H70" i="4"/>
  <c r="H69" i="4"/>
  <c r="H68" i="4"/>
  <c r="H67" i="4"/>
  <c r="G47" i="4"/>
  <c r="F47" i="4"/>
  <c r="E47" i="4"/>
  <c r="D47" i="4"/>
  <c r="H39" i="4"/>
  <c r="H38" i="4"/>
  <c r="H37" i="4"/>
  <c r="H36" i="4"/>
  <c r="H35" i="4"/>
  <c r="H34" i="4"/>
  <c r="H33" i="4"/>
  <c r="H32" i="4"/>
  <c r="H31" i="4"/>
  <c r="H30" i="4"/>
  <c r="G28" i="4"/>
  <c r="F28" i="4"/>
  <c r="E28" i="4"/>
  <c r="D28" i="4"/>
  <c r="H27" i="4"/>
  <c r="H26" i="4"/>
  <c r="H25" i="4"/>
  <c r="H24" i="4"/>
  <c r="H23" i="4"/>
  <c r="H22" i="4"/>
  <c r="H21" i="4"/>
  <c r="H20" i="4"/>
  <c r="H19" i="4"/>
  <c r="G14" i="4"/>
  <c r="G91" i="4" s="1"/>
  <c r="F14" i="4"/>
  <c r="E14" i="4"/>
  <c r="D14" i="4"/>
  <c r="H48" i="5" l="1"/>
  <c r="H57" i="5" s="1"/>
  <c r="H47" i="4"/>
  <c r="F29" i="4"/>
  <c r="F48" i="4" s="1"/>
  <c r="F57" i="4" s="1"/>
  <c r="E29" i="4"/>
  <c r="E48" i="4" s="1"/>
  <c r="E57" i="4" s="1"/>
  <c r="H28" i="4"/>
  <c r="E84" i="4"/>
  <c r="E87" i="4" s="1"/>
  <c r="G29" i="4"/>
  <c r="G48" i="4" s="1"/>
  <c r="G57" i="4" s="1"/>
  <c r="F91" i="4"/>
  <c r="H91" i="4" s="1"/>
  <c r="H14" i="4"/>
  <c r="D29" i="4"/>
  <c r="D48" i="4" s="1"/>
  <c r="H29" i="4" l="1"/>
  <c r="D57" i="4"/>
  <c r="H48" i="4"/>
  <c r="H57" i="4" s="1"/>
  <c r="F84" i="4"/>
  <c r="F87" i="4" s="1"/>
  <c r="F14" i="2"/>
  <c r="B87" i="3" l="1"/>
  <c r="H72" i="3"/>
  <c r="H71" i="3"/>
  <c r="H70" i="3"/>
  <c r="H69" i="3"/>
  <c r="H68" i="3"/>
  <c r="H67" i="3"/>
  <c r="G47" i="3"/>
  <c r="F47" i="3"/>
  <c r="E47" i="3"/>
  <c r="D47" i="3"/>
  <c r="H39" i="3"/>
  <c r="H38" i="3"/>
  <c r="H37" i="3"/>
  <c r="H36" i="3"/>
  <c r="H35" i="3"/>
  <c r="H34" i="3"/>
  <c r="H33" i="3"/>
  <c r="H32" i="3"/>
  <c r="H31" i="3"/>
  <c r="H30" i="3"/>
  <c r="G28" i="3"/>
  <c r="F28" i="3"/>
  <c r="E28" i="3"/>
  <c r="H27" i="3"/>
  <c r="H26" i="3"/>
  <c r="H25" i="3"/>
  <c r="H24" i="3"/>
  <c r="H23" i="3"/>
  <c r="H22" i="3"/>
  <c r="H21" i="3"/>
  <c r="H20" i="3"/>
  <c r="H19" i="3"/>
  <c r="G14" i="3"/>
  <c r="F14" i="3"/>
  <c r="F91" i="3" s="1"/>
  <c r="E14" i="3"/>
  <c r="E84" i="3" s="1"/>
  <c r="E29" i="3" l="1"/>
  <c r="E48" i="3" s="1"/>
  <c r="E57" i="3" s="1"/>
  <c r="G29" i="3"/>
  <c r="G48" i="3" s="1"/>
  <c r="G57" i="3" s="1"/>
  <c r="H47" i="3"/>
  <c r="H28" i="3"/>
  <c r="E87" i="3"/>
  <c r="F29" i="3"/>
  <c r="F48" i="3" s="1"/>
  <c r="F57" i="3" s="1"/>
  <c r="H14" i="3"/>
  <c r="G91" i="3"/>
  <c r="H91" i="3" s="1"/>
  <c r="D48" i="3"/>
  <c r="D14" i="2"/>
  <c r="H29" i="3" l="1"/>
  <c r="F84" i="3"/>
  <c r="F87" i="3" s="1"/>
  <c r="H48" i="3"/>
  <c r="H57" i="3" s="1"/>
  <c r="D57" i="3"/>
  <c r="D29" i="2"/>
  <c r="B87" i="2"/>
  <c r="F18" i="2"/>
  <c r="F18" i="13" s="1"/>
  <c r="F50" i="13" s="1"/>
  <c r="F52" i="13" s="1"/>
  <c r="H72" i="2"/>
  <c r="H71" i="2"/>
  <c r="H70" i="2"/>
  <c r="H69" i="2"/>
  <c r="H68" i="2"/>
  <c r="H67" i="2"/>
  <c r="G47" i="2"/>
  <c r="F47" i="2"/>
  <c r="E47" i="2"/>
  <c r="D47" i="2"/>
  <c r="H39" i="2"/>
  <c r="H38" i="2"/>
  <c r="H37" i="2"/>
  <c r="H36" i="2"/>
  <c r="H35" i="2"/>
  <c r="H34" i="2"/>
  <c r="H33" i="2"/>
  <c r="H32" i="2"/>
  <c r="H31" i="2"/>
  <c r="H30" i="2"/>
  <c r="G28" i="2"/>
  <c r="F28" i="2"/>
  <c r="E28" i="2"/>
  <c r="H27" i="2"/>
  <c r="H26" i="2"/>
  <c r="H25" i="2"/>
  <c r="H24" i="2"/>
  <c r="H23" i="2"/>
  <c r="H22" i="2"/>
  <c r="H21" i="2"/>
  <c r="H20" i="2"/>
  <c r="H19" i="2"/>
  <c r="G14" i="2"/>
  <c r="G91" i="2" s="1"/>
  <c r="F91" i="2"/>
  <c r="E14" i="2"/>
  <c r="E29" i="2" l="1"/>
  <c r="E48" i="2" s="1"/>
  <c r="E57" i="2" s="1"/>
  <c r="E84" i="2"/>
  <c r="E87" i="2" s="1"/>
  <c r="H91" i="2"/>
  <c r="H28" i="2"/>
  <c r="H47" i="2"/>
  <c r="F29" i="2"/>
  <c r="G29" i="2"/>
  <c r="G48" i="2" s="1"/>
  <c r="G57" i="2" s="1"/>
  <c r="H14" i="2"/>
  <c r="D48" i="2"/>
  <c r="H29" i="2" l="1"/>
  <c r="F48" i="2"/>
  <c r="F57" i="2" s="1"/>
  <c r="F84" i="2"/>
  <c r="F87" i="2" s="1"/>
  <c r="D57" i="2"/>
  <c r="H48" i="2" l="1"/>
  <c r="H57" i="2" s="1"/>
  <c r="B87" i="1"/>
  <c r="H72" i="1"/>
  <c r="H71" i="1"/>
  <c r="H70" i="1"/>
  <c r="H69" i="1"/>
  <c r="H68" i="1"/>
  <c r="H67" i="1"/>
  <c r="G47" i="1"/>
  <c r="G47" i="13" s="1"/>
  <c r="F47" i="1"/>
  <c r="F47" i="13" s="1"/>
  <c r="E47" i="1"/>
  <c r="E47" i="13" s="1"/>
  <c r="D47" i="1"/>
  <c r="D47" i="13" s="1"/>
  <c r="H39" i="1"/>
  <c r="H38" i="1"/>
  <c r="H37" i="1"/>
  <c r="H36" i="1"/>
  <c r="H36" i="13" s="1"/>
  <c r="H35" i="1"/>
  <c r="H35" i="13" s="1"/>
  <c r="H34" i="1"/>
  <c r="H34" i="13" s="1"/>
  <c r="H33" i="1"/>
  <c r="H33" i="13" s="1"/>
  <c r="H32" i="1"/>
  <c r="H32" i="13" s="1"/>
  <c r="H31" i="1"/>
  <c r="H31" i="13" s="1"/>
  <c r="H30" i="1"/>
  <c r="H30" i="13" s="1"/>
  <c r="G28" i="1"/>
  <c r="G28" i="13" s="1"/>
  <c r="F28" i="1"/>
  <c r="F28" i="13" s="1"/>
  <c r="E28" i="1"/>
  <c r="E28" i="13" s="1"/>
  <c r="D28" i="1"/>
  <c r="D28" i="13" s="1"/>
  <c r="H27" i="1"/>
  <c r="H26" i="1"/>
  <c r="H25" i="1"/>
  <c r="H24" i="1"/>
  <c r="H24" i="13" s="1"/>
  <c r="H23" i="1"/>
  <c r="H23" i="13" s="1"/>
  <c r="H22" i="1"/>
  <c r="H22" i="13" s="1"/>
  <c r="H21" i="1"/>
  <c r="H21" i="13" s="1"/>
  <c r="H20" i="1"/>
  <c r="H20" i="13" s="1"/>
  <c r="H19" i="1"/>
  <c r="H19" i="13" s="1"/>
  <c r="G14" i="1"/>
  <c r="F14" i="1"/>
  <c r="E14" i="1"/>
  <c r="E14" i="13" s="1"/>
  <c r="D14" i="1"/>
  <c r="D14" i="13" s="1"/>
  <c r="G91" i="1" l="1"/>
  <c r="G14" i="13"/>
  <c r="F91" i="1"/>
  <c r="F14" i="13"/>
  <c r="E84" i="1"/>
  <c r="H47" i="1"/>
  <c r="H47" i="13" s="1"/>
  <c r="E29" i="1"/>
  <c r="H28" i="1"/>
  <c r="H28" i="13" s="1"/>
  <c r="D29" i="1"/>
  <c r="F29" i="1"/>
  <c r="H91" i="1"/>
  <c r="G29" i="1"/>
  <c r="H14" i="1"/>
  <c r="H14" i="13" s="1"/>
  <c r="G48" i="1" l="1"/>
  <c r="G29" i="13"/>
  <c r="F48" i="1"/>
  <c r="F29" i="13"/>
  <c r="E48" i="1"/>
  <c r="E29" i="13"/>
  <c r="D48" i="1"/>
  <c r="D29" i="13"/>
  <c r="H29" i="1"/>
  <c r="H29" i="13" s="1"/>
  <c r="E87" i="1"/>
  <c r="F84" i="1"/>
  <c r="F87" i="1" s="1"/>
  <c r="G57" i="1" l="1"/>
  <c r="G58" i="1" s="1"/>
  <c r="G58" i="2" s="1"/>
  <c r="G48" i="13"/>
  <c r="F57" i="1"/>
  <c r="F58" i="1" s="1"/>
  <c r="F58" i="2" s="1"/>
  <c r="F48" i="13"/>
  <c r="E57" i="1"/>
  <c r="E58" i="1" s="1"/>
  <c r="E58" i="2" s="1"/>
  <c r="E58" i="3" s="1"/>
  <c r="E58" i="4" s="1"/>
  <c r="E58" i="5" s="1"/>
  <c r="E58" i="6" s="1"/>
  <c r="E58" i="7" s="1"/>
  <c r="E58" i="8" s="1"/>
  <c r="E58" i="9" s="1"/>
  <c r="E58" i="10" s="1"/>
  <c r="E58" i="11" s="1"/>
  <c r="E58" i="12" s="1"/>
  <c r="E48" i="13"/>
  <c r="D57" i="1"/>
  <c r="D58" i="1" s="1"/>
  <c r="D58" i="2" s="1"/>
  <c r="D58" i="3" s="1"/>
  <c r="D58" i="4" s="1"/>
  <c r="D58" i="5" s="1"/>
  <c r="D58" i="6" s="1"/>
  <c r="D58" i="7" s="1"/>
  <c r="D58" i="8" s="1"/>
  <c r="D58" i="9" s="1"/>
  <c r="D58" i="10" s="1"/>
  <c r="D58" i="11" s="1"/>
  <c r="D58" i="12" s="1"/>
  <c r="D48" i="13"/>
  <c r="H48" i="1"/>
  <c r="G58" i="3"/>
  <c r="F58" i="3"/>
  <c r="H57" i="1" l="1"/>
  <c r="H58" i="1" s="1"/>
  <c r="H58" i="2" s="1"/>
  <c r="H58" i="3" s="1"/>
  <c r="H48" i="13"/>
  <c r="F58" i="4"/>
  <c r="F58" i="5" s="1"/>
  <c r="F58" i="6" s="1"/>
  <c r="F58" i="7" s="1"/>
  <c r="F58" i="8" s="1"/>
  <c r="F58" i="9" s="1"/>
  <c r="F58" i="10" s="1"/>
  <c r="F58" i="11" s="1"/>
  <c r="F58" i="12" s="1"/>
  <c r="G58" i="4"/>
  <c r="G58" i="5" s="1"/>
  <c r="G58" i="6" s="1"/>
  <c r="G58" i="7" s="1"/>
  <c r="G58" i="8" s="1"/>
  <c r="G58" i="9" s="1"/>
  <c r="G58" i="10" s="1"/>
  <c r="G58" i="11" s="1"/>
  <c r="G58" i="12" s="1"/>
  <c r="H58" i="4" l="1"/>
  <c r="H58" i="5" s="1"/>
  <c r="H58" i="6" s="1"/>
  <c r="H58" i="7" s="1"/>
  <c r="H58" i="8" s="1"/>
  <c r="H58" i="9" s="1"/>
  <c r="H58" i="10" s="1"/>
  <c r="H58" i="11" s="1"/>
  <c r="H58" i="1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2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F85.
</t>
        </r>
      </text>
    </comment>
    <comment ref="D20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3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4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5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5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6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7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7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7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8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8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8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9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9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9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A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A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A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Toshiyuki Wakana</author>
  </authors>
  <commentList>
    <comment ref="F18" authorId="0" shapeId="0" xr:uid="{00000000-0006-0000-0B00-000001000000}">
      <text>
        <r>
          <rPr>
            <sz val="9"/>
            <color indexed="81"/>
            <rFont val="Tahoma"/>
            <family val="2"/>
          </rPr>
          <t xml:space="preserve">WHEN INTERSTATE AMOUNTS ARE AVAILABLE, THEY MUST BE ADDED SO THIS EQUALS E85.
</t>
        </r>
      </text>
    </comment>
    <comment ref="D20" authorId="0" shapeId="0" xr:uid="{00000000-0006-0000-0B00-000002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B00-000003000000}">
      <text>
        <r>
          <rPr>
            <b/>
            <sz val="9"/>
            <color indexed="81"/>
            <rFont val="Tahoma"/>
            <family val="2"/>
          </rPr>
          <t>Lost amount reported from motor fuel tax section. See File "Affidavit of Loss Log."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<sst xmlns="http://schemas.openxmlformats.org/spreadsheetml/2006/main" count="1741" uniqueCount="147">
  <si>
    <t>The public report burden for this information is estimated to average 5.4 hours</t>
  </si>
  <si>
    <t>Form Approved OMB No. 2125-0032</t>
  </si>
  <si>
    <t>STATE</t>
  </si>
  <si>
    <t xml:space="preserve"> U.S. Department of</t>
  </si>
  <si>
    <t>Kansas</t>
  </si>
  <si>
    <t xml:space="preserve"> Transportation</t>
  </si>
  <si>
    <t>YEAR</t>
  </si>
  <si>
    <t>MONTHLY MOTOR-FUEL CONSUMPTION</t>
  </si>
  <si>
    <t>MONTH OF SALE</t>
  </si>
  <si>
    <t xml:space="preserve"> Federal Highway</t>
  </si>
  <si>
    <t xml:space="preserve"> Administration</t>
  </si>
  <si>
    <t xml:space="preserve">  Gallons     X</t>
  </si>
  <si>
    <t xml:space="preserve">  Liters </t>
  </si>
  <si>
    <t>LI</t>
  </si>
  <si>
    <t>PRIVATE AND COMMERCIAL</t>
  </si>
  <si>
    <t>ITEM</t>
  </si>
  <si>
    <t>NE</t>
  </si>
  <si>
    <t>GASOLINE</t>
  </si>
  <si>
    <t>GASOHOL</t>
  </si>
  <si>
    <t>HWY DIESEL</t>
  </si>
  <si>
    <t>HWY LPG</t>
  </si>
  <si>
    <t>TOTAL</t>
  </si>
  <si>
    <t>#</t>
  </si>
  <si>
    <t>1.  Gross</t>
  </si>
  <si>
    <t>a. Gross Volume Reported</t>
  </si>
  <si>
    <t>Net After Deduction</t>
  </si>
  <si>
    <t>Special Fuel Tax Receipts</t>
  </si>
  <si>
    <t>Special Fuel Tax Refunds</t>
  </si>
  <si>
    <t>Volume</t>
  </si>
  <si>
    <t>b. IFTA</t>
  </si>
  <si>
    <t>2. Fully</t>
  </si>
  <si>
    <t>a. Losses - Flat %</t>
  </si>
  <si>
    <t xml:space="preserve">   Tax</t>
  </si>
  <si>
    <t>b. Losses - Actual</t>
  </si>
  <si>
    <t xml:space="preserve">   Exempt</t>
  </si>
  <si>
    <t>c. Federal</t>
  </si>
  <si>
    <t>d. Aviation</t>
  </si>
  <si>
    <t>e. Native American</t>
  </si>
  <si>
    <t>f. Assessments</t>
  </si>
  <si>
    <t>g.</t>
  </si>
  <si>
    <t>h.</t>
  </si>
  <si>
    <t>i.</t>
  </si>
  <si>
    <t>j. Total (sum a. through e - f.)</t>
  </si>
  <si>
    <t>3.  Gross Volume Taxed (1-2j)</t>
  </si>
  <si>
    <t>4.  Fully</t>
  </si>
  <si>
    <t>a. Agriculture</t>
  </si>
  <si>
    <t>Refunded</t>
  </si>
  <si>
    <t>b. Aviation</t>
  </si>
  <si>
    <t>c. Industrial/Commercial</t>
  </si>
  <si>
    <t>d. Construction</t>
  </si>
  <si>
    <t>e. Marine</t>
  </si>
  <si>
    <t>f. Municipal and Counties</t>
  </si>
  <si>
    <t>g. Other</t>
  </si>
  <si>
    <t>j.</t>
  </si>
  <si>
    <t>k.</t>
  </si>
  <si>
    <t>l.</t>
  </si>
  <si>
    <t>m.</t>
  </si>
  <si>
    <t>n.</t>
  </si>
  <si>
    <t>o.</t>
  </si>
  <si>
    <t>p.</t>
  </si>
  <si>
    <t>q.</t>
  </si>
  <si>
    <t>5. Net</t>
  </si>
  <si>
    <t>a. At Full Rate</t>
  </si>
  <si>
    <t>Taxed</t>
  </si>
  <si>
    <t>c.</t>
  </si>
  <si>
    <t>Taxed at</t>
  </si>
  <si>
    <t>d.</t>
  </si>
  <si>
    <t>initial lower</t>
  </si>
  <si>
    <t>e.</t>
  </si>
  <si>
    <t>rate, partially</t>
  </si>
  <si>
    <t>f.</t>
  </si>
  <si>
    <t>exempt or</t>
  </si>
  <si>
    <t>partially</t>
  </si>
  <si>
    <t>refunded</t>
  </si>
  <si>
    <t>j. Total (a thru i, 3-4t)</t>
  </si>
  <si>
    <t>Calendar Year Cumulation</t>
  </si>
  <si>
    <t>6. Source</t>
  </si>
  <si>
    <t>a. Agency Preparing this Report:</t>
  </si>
  <si>
    <t>b. Compiled under Direction of:</t>
  </si>
  <si>
    <t>c.  Date</t>
  </si>
  <si>
    <t>PREVIOUS EDITIONS OBSOLETE</t>
  </si>
  <si>
    <t>(Next Page)</t>
  </si>
  <si>
    <t>NOTES AND TECHNICAL INFORMATION</t>
  </si>
  <si>
    <t>1. Rate of tax at end month, in cents-per-gallon/liter.</t>
  </si>
  <si>
    <t>(If tax is ad valorem, post percentage, and briefly explain application basis below.)</t>
  </si>
  <si>
    <t>Rate</t>
  </si>
  <si>
    <t>Effective Date</t>
  </si>
  <si>
    <t>a. Gasoline</t>
  </si>
  <si>
    <t>24¢/gallon</t>
  </si>
  <si>
    <t>b. Gasohol</t>
  </si>
  <si>
    <t>c. Gasohol E85</t>
  </si>
  <si>
    <t>17¢/gallon</t>
  </si>
  <si>
    <t>d. Diesel</t>
  </si>
  <si>
    <t>26¢/gallon</t>
  </si>
  <si>
    <t>e. LPG</t>
  </si>
  <si>
    <t>23¢/gallon</t>
  </si>
  <si>
    <t>f. CNG *</t>
  </si>
  <si>
    <t>* 120 cubic feet = one gallon</t>
  </si>
  <si>
    <t>2.  Computation of gross volume reported (page 1, item 1).</t>
  </si>
  <si>
    <t>Special Fuels</t>
  </si>
  <si>
    <t>(Diesel and LPG)</t>
  </si>
  <si>
    <t>Gross sales from wholesaler/retailer returns</t>
  </si>
  <si>
    <t>Plus: IMC fuel volume used in state</t>
  </si>
  <si>
    <t>Less:  IMC fuel volume purchased tax paid in state</t>
  </si>
  <si>
    <t xml:space="preserve">Interstate motor carrier (fuel use tax) fuel volume shown above covers period:  </t>
  </si>
  <si>
    <t>Diesel</t>
  </si>
  <si>
    <t>LP-Gas</t>
  </si>
  <si>
    <t>Combined</t>
  </si>
  <si>
    <t>* page 1, line 1 split</t>
  </si>
  <si>
    <t>3. Stratification of gasohol by blend ratio</t>
  </si>
  <si>
    <t>The gasohol volume on page 1 column (2) includes:</t>
  </si>
  <si>
    <t>(show actual/estimated volume or percentage shares)</t>
  </si>
  <si>
    <t>Percent Alcohol</t>
  </si>
  <si>
    <t>Percentage Share</t>
  </si>
  <si>
    <t>5.7-7.6%</t>
  </si>
  <si>
    <t>7.7-9.9%</t>
  </si>
  <si>
    <t>10% or more</t>
  </si>
  <si>
    <t>4. Notes and comments</t>
  </si>
  <si>
    <t>Note that diesel gallons include state, county and municipal government highway use, but does not include use by</t>
  </si>
  <si>
    <t>school buses.</t>
  </si>
  <si>
    <t>Line #26 (Assessments) - Assessments, either positive or negative, can be the result of audits, amended returns or</t>
  </si>
  <si>
    <t>Form FHWA-551M  (Rev. 11-93)</t>
  </si>
  <si>
    <t>January</t>
  </si>
  <si>
    <t>office (KS Dept. of Revenue) assessments or abatements.</t>
  </si>
  <si>
    <t>r. Total (a. thru s.)</t>
  </si>
  <si>
    <t>Gasoline and Gasohol</t>
  </si>
  <si>
    <t>Kansas Department of Revenue, Office of Research and Analysis</t>
  </si>
  <si>
    <t>UNITS (check one)</t>
  </si>
  <si>
    <t>February</t>
  </si>
  <si>
    <t>March</t>
  </si>
  <si>
    <t>April</t>
  </si>
  <si>
    <t>May</t>
  </si>
  <si>
    <t>Special Fuel Tax Receipts ($)</t>
  </si>
  <si>
    <t>Special Fuel Tax Refunds ($)</t>
  </si>
  <si>
    <t>b.</t>
  </si>
  <si>
    <t>June</t>
  </si>
  <si>
    <t>July</t>
  </si>
  <si>
    <t>August</t>
  </si>
  <si>
    <t>September</t>
  </si>
  <si>
    <t>October</t>
  </si>
  <si>
    <t>November</t>
  </si>
  <si>
    <t>December</t>
  </si>
  <si>
    <t>IMC fuel volume used in state</t>
  </si>
  <si>
    <t>IMC fuel volume purchased in state</t>
  </si>
  <si>
    <t>Net IMC</t>
  </si>
  <si>
    <t>Mark Burghart, Secretary of Revenue</t>
  </si>
  <si>
    <t>Kansas Department of Revenue, Office of Policy and 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</si>
</sst>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;\(0\)"/>
    <numFmt numFmtId="165" formatCode="0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neva"/>
    </font>
    <font>
      <b/>
      <sz val="10"/>
      <name val="Geneva"/>
    </font>
    <font>
      <u/>
      <sz val="10"/>
      <name val="Geneva"/>
    </font>
    <font>
      <sz val="10"/>
      <color theme="4"/>
      <name val="Geneva"/>
    </font>
    <font>
      <sz val="9"/>
      <name val="Tms Rmn"/>
    </font>
    <font>
      <i/>
      <sz val="10"/>
      <name val="Geneva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4" tint="-0.249977111117893"/>
      <name val="Geneva"/>
    </font>
    <font>
      <sz val="10"/>
      <color rgb="FF0070C0"/>
      <name val="Geneva"/>
    </font>
    <font>
      <sz val="10"/>
      <color rgb="FFFF0000"/>
      <name val="Geneva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8">
    <xf numFmtId="0" fontId="0" fillId="0" borderId="0" xfId="0"/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1" fontId="2" fillId="0" borderId="1" xfId="0" applyNumberFormat="1" applyFont="1" applyBorder="1"/>
    <xf numFmtId="1" fontId="2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0" xfId="0" applyFont="1"/>
    <xf numFmtId="1" fontId="3" fillId="0" borderId="0" xfId="0" applyNumberFormat="1" applyFont="1"/>
    <xf numFmtId="1" fontId="2" fillId="0" borderId="0" xfId="0" applyNumberFormat="1" applyFont="1"/>
    <xf numFmtId="0" fontId="2" fillId="0" borderId="3" xfId="0" applyFont="1" applyBorder="1" applyAlignment="1">
      <alignment horizontal="left"/>
    </xf>
    <xf numFmtId="1" fontId="2" fillId="0" borderId="2" xfId="0" applyNumberFormat="1" applyFont="1" applyBorder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1" fontId="3" fillId="0" borderId="0" xfId="0" applyNumberFormat="1" applyFont="1" applyAlignment="1">
      <alignment horizontal="right"/>
    </xf>
    <xf numFmtId="0" fontId="2" fillId="0" borderId="4" xfId="0" applyFont="1" applyBorder="1"/>
    <xf numFmtId="0" fontId="4" fillId="0" borderId="2" xfId="0" applyFont="1" applyBorder="1"/>
    <xf numFmtId="1" fontId="2" fillId="0" borderId="0" xfId="0" applyNumberFormat="1" applyFont="1" applyAlignment="1">
      <alignment horizontal="center"/>
    </xf>
    <xf numFmtId="1" fontId="2" fillId="0" borderId="3" xfId="0" applyNumberFormat="1" applyFont="1" applyBorder="1" applyAlignment="1">
      <alignment horizontal="left"/>
    </xf>
    <xf numFmtId="0" fontId="3" fillId="0" borderId="2" xfId="0" applyFont="1" applyBorder="1"/>
    <xf numFmtId="1" fontId="2" fillId="0" borderId="4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left"/>
    </xf>
    <xf numFmtId="1" fontId="4" fillId="0" borderId="2" xfId="0" applyNumberFormat="1" applyFont="1" applyBorder="1" applyAlignment="1">
      <alignment horizontal="left"/>
    </xf>
    <xf numFmtId="1" fontId="2" fillId="0" borderId="2" xfId="0" applyNumberFormat="1" applyFont="1" applyBorder="1" applyAlignment="1">
      <alignment horizontal="left"/>
    </xf>
    <xf numFmtId="1" fontId="2" fillId="0" borderId="0" xfId="0" applyNumberFormat="1" applyFont="1" applyAlignment="1">
      <alignment horizontal="right"/>
    </xf>
    <xf numFmtId="0" fontId="2" fillId="0" borderId="4" xfId="0" applyFont="1" applyBorder="1" applyAlignment="1">
      <alignment horizontal="left"/>
    </xf>
    <xf numFmtId="1" fontId="2" fillId="0" borderId="6" xfId="0" applyNumberFormat="1" applyFont="1" applyBorder="1" applyAlignment="1">
      <alignment horizontal="left"/>
    </xf>
    <xf numFmtId="0" fontId="2" fillId="0" borderId="7" xfId="0" applyFont="1" applyBorder="1"/>
    <xf numFmtId="0" fontId="2" fillId="0" borderId="6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10" xfId="0" applyFont="1" applyBorder="1"/>
    <xf numFmtId="1" fontId="2" fillId="0" borderId="3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left"/>
    </xf>
    <xf numFmtId="1" fontId="2" fillId="0" borderId="4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3" fontId="2" fillId="0" borderId="0" xfId="1" applyNumberFormat="1" applyFont="1" applyBorder="1" applyAlignment="1"/>
    <xf numFmtId="3" fontId="2" fillId="0" borderId="3" xfId="1" applyNumberFormat="1" applyFont="1" applyBorder="1" applyAlignment="1"/>
    <xf numFmtId="3" fontId="2" fillId="0" borderId="9" xfId="0" applyNumberFormat="1" applyFont="1" applyBorder="1"/>
    <xf numFmtId="0" fontId="2" fillId="0" borderId="0" xfId="0" applyFont="1" applyAlignment="1">
      <alignment horizontal="left" indent="5"/>
    </xf>
    <xf numFmtId="165" fontId="2" fillId="0" borderId="3" xfId="0" applyNumberFormat="1" applyFont="1" applyBorder="1" applyAlignment="1">
      <alignment horizontal="center"/>
    </xf>
    <xf numFmtId="3" fontId="5" fillId="0" borderId="0" xfId="1" applyNumberFormat="1" applyFont="1" applyBorder="1" applyAlignment="1"/>
    <xf numFmtId="3" fontId="5" fillId="0" borderId="3" xfId="1" applyNumberFormat="1" applyFont="1" applyBorder="1" applyAlignment="1"/>
    <xf numFmtId="1" fontId="2" fillId="0" borderId="11" xfId="0" applyNumberFormat="1" applyFont="1" applyBorder="1" applyAlignment="1">
      <alignment horizontal="right"/>
    </xf>
    <xf numFmtId="3" fontId="2" fillId="0" borderId="1" xfId="1" applyNumberFormat="1" applyFont="1" applyBorder="1" applyAlignment="1"/>
    <xf numFmtId="3" fontId="2" fillId="0" borderId="4" xfId="1" applyNumberFormat="1" applyFont="1" applyBorder="1" applyAlignment="1"/>
    <xf numFmtId="1" fontId="2" fillId="0" borderId="8" xfId="0" applyNumberFormat="1" applyFont="1" applyBorder="1"/>
    <xf numFmtId="3" fontId="2" fillId="1" borderId="0" xfId="0" applyNumberFormat="1" applyFont="1" applyFill="1"/>
    <xf numFmtId="3" fontId="2" fillId="1" borderId="3" xfId="0" applyNumberFormat="1" applyFont="1" applyFill="1" applyBorder="1"/>
    <xf numFmtId="1" fontId="2" fillId="0" borderId="12" xfId="0" applyNumberFormat="1" applyFont="1" applyBorder="1" applyAlignment="1">
      <alignment horizontal="center"/>
    </xf>
    <xf numFmtId="3" fontId="2" fillId="0" borderId="13" xfId="0" applyNumberFormat="1" applyFont="1" applyBorder="1"/>
    <xf numFmtId="3" fontId="2" fillId="0" borderId="12" xfId="0" applyNumberFormat="1" applyFont="1" applyBorder="1"/>
    <xf numFmtId="3" fontId="2" fillId="0" borderId="6" xfId="0" applyNumberFormat="1" applyFont="1" applyBorder="1" applyAlignment="1">
      <alignment horizontal="left"/>
    </xf>
    <xf numFmtId="3" fontId="2" fillId="0" borderId="5" xfId="0" applyNumberFormat="1" applyFont="1" applyBorder="1" applyAlignment="1">
      <alignment horizontal="left"/>
    </xf>
    <xf numFmtId="3" fontId="2" fillId="0" borderId="10" xfId="0" applyNumberFormat="1" applyFont="1" applyBorder="1"/>
    <xf numFmtId="1" fontId="2" fillId="0" borderId="11" xfId="0" applyNumberFormat="1" applyFont="1" applyBorder="1"/>
    <xf numFmtId="0" fontId="2" fillId="0" borderId="11" xfId="0" applyFont="1" applyBorder="1"/>
    <xf numFmtId="3" fontId="2" fillId="0" borderId="0" xfId="0" applyNumberFormat="1" applyFont="1"/>
    <xf numFmtId="3" fontId="2" fillId="0" borderId="3" xfId="0" applyNumberFormat="1" applyFont="1" applyBorder="1"/>
    <xf numFmtId="3" fontId="2" fillId="0" borderId="1" xfId="0" applyNumberFormat="1" applyFont="1" applyBorder="1"/>
    <xf numFmtId="3" fontId="2" fillId="0" borderId="4" xfId="0" applyNumberFormat="1" applyFont="1" applyBorder="1"/>
    <xf numFmtId="3" fontId="2" fillId="0" borderId="11" xfId="0" applyNumberFormat="1" applyFont="1" applyBorder="1"/>
    <xf numFmtId="1" fontId="2" fillId="0" borderId="8" xfId="0" applyNumberFormat="1" applyFont="1" applyBorder="1" applyAlignment="1">
      <alignment horizontal="left"/>
    </xf>
    <xf numFmtId="0" fontId="3" fillId="0" borderId="1" xfId="0" applyFont="1" applyBorder="1"/>
    <xf numFmtId="3" fontId="2" fillId="0" borderId="8" xfId="0" applyNumberFormat="1" applyFont="1" applyBorder="1"/>
    <xf numFmtId="3" fontId="2" fillId="1" borderId="13" xfId="0" applyNumberFormat="1" applyFont="1" applyFill="1" applyBorder="1" applyAlignment="1">
      <alignment horizontal="left"/>
    </xf>
    <xf numFmtId="3" fontId="2" fillId="1" borderId="12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right"/>
    </xf>
    <xf numFmtId="3" fontId="2" fillId="1" borderId="0" xfId="0" applyNumberFormat="1" applyFont="1" applyFill="1" applyAlignment="1">
      <alignment horizontal="left"/>
    </xf>
    <xf numFmtId="3" fontId="2" fillId="1" borderId="3" xfId="0" applyNumberFormat="1" applyFont="1" applyFill="1" applyBorder="1" applyAlignment="1">
      <alignment horizontal="left"/>
    </xf>
    <xf numFmtId="3" fontId="2" fillId="0" borderId="14" xfId="0" applyNumberFormat="1" applyFont="1" applyBorder="1"/>
    <xf numFmtId="3" fontId="2" fillId="1" borderId="1" xfId="0" applyNumberFormat="1" applyFont="1" applyFill="1" applyBorder="1"/>
    <xf numFmtId="3" fontId="2" fillId="1" borderId="4" xfId="0" applyNumberFormat="1" applyFont="1" applyFill="1" applyBorder="1"/>
    <xf numFmtId="0" fontId="6" fillId="0" borderId="2" xfId="0" applyFont="1" applyBorder="1" applyAlignment="1">
      <alignment horizontal="left"/>
    </xf>
    <xf numFmtId="0" fontId="6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" fontId="2" fillId="0" borderId="2" xfId="0" applyNumberFormat="1" applyFont="1" applyBorder="1" applyAlignment="1">
      <alignment horizontal="right"/>
    </xf>
    <xf numFmtId="0" fontId="2" fillId="0" borderId="6" xfId="0" applyFont="1" applyBorder="1"/>
    <xf numFmtId="49" fontId="2" fillId="0" borderId="2" xfId="0" applyNumberFormat="1" applyFont="1" applyBorder="1"/>
    <xf numFmtId="1" fontId="2" fillId="0" borderId="10" xfId="0" applyNumberFormat="1" applyFont="1" applyBorder="1"/>
    <xf numFmtId="0" fontId="2" fillId="0" borderId="15" xfId="0" applyFont="1" applyBorder="1"/>
    <xf numFmtId="1" fontId="2" fillId="0" borderId="14" xfId="0" applyNumberFormat="1" applyFont="1" applyBorder="1"/>
    <xf numFmtId="1" fontId="2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1" fontId="2" fillId="0" borderId="7" xfId="0" applyNumberFormat="1" applyFont="1" applyBorder="1" applyAlignment="1">
      <alignment horizontal="left"/>
    </xf>
    <xf numFmtId="1" fontId="2" fillId="0" borderId="7" xfId="0" applyNumberFormat="1" applyFont="1" applyBorder="1"/>
    <xf numFmtId="1" fontId="2" fillId="0" borderId="5" xfId="0" applyNumberFormat="1" applyFont="1" applyBorder="1"/>
    <xf numFmtId="1" fontId="2" fillId="0" borderId="5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fill"/>
    </xf>
    <xf numFmtId="1" fontId="2" fillId="0" borderId="1" xfId="0" applyNumberFormat="1" applyFont="1" applyBorder="1" applyAlignment="1">
      <alignment horizontal="fill"/>
    </xf>
    <xf numFmtId="1" fontId="2" fillId="0" borderId="12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fill"/>
    </xf>
    <xf numFmtId="1" fontId="7" fillId="0" borderId="10" xfId="0" applyNumberFormat="1" applyFont="1" applyBorder="1" applyAlignment="1">
      <alignment horizontal="fill"/>
    </xf>
    <xf numFmtId="0" fontId="2" fillId="0" borderId="0" xfId="0" applyFont="1" applyAlignment="1">
      <alignment horizontal="left"/>
    </xf>
    <xf numFmtId="14" fontId="2" fillId="0" borderId="0" xfId="0" applyNumberFormat="1" applyFont="1"/>
    <xf numFmtId="3" fontId="2" fillId="0" borderId="1" xfId="1" applyNumberFormat="1" applyFont="1" applyBorder="1"/>
    <xf numFmtId="3" fontId="2" fillId="0" borderId="11" xfId="1" applyNumberFormat="1" applyFont="1" applyBorder="1"/>
    <xf numFmtId="1" fontId="4" fillId="0" borderId="10" xfId="0" applyNumberFormat="1" applyFont="1" applyBorder="1"/>
    <xf numFmtId="3" fontId="2" fillId="0" borderId="10" xfId="1" applyNumberFormat="1" applyFont="1" applyBorder="1" applyAlignment="1"/>
    <xf numFmtId="3" fontId="4" fillId="0" borderId="10" xfId="1" applyNumberFormat="1" applyFont="1" applyBorder="1" applyAlignment="1"/>
    <xf numFmtId="0" fontId="2" fillId="0" borderId="0" xfId="0" applyFont="1" applyAlignment="1">
      <alignment horizontal="right"/>
    </xf>
    <xf numFmtId="1" fontId="4" fillId="0" borderId="0" xfId="0" applyNumberFormat="1" applyFont="1" applyAlignment="1">
      <alignment horizontal="center"/>
    </xf>
    <xf numFmtId="1" fontId="4" fillId="0" borderId="10" xfId="0" applyNumberFormat="1" applyFont="1" applyBorder="1" applyAlignment="1">
      <alignment horizontal="center"/>
    </xf>
    <xf numFmtId="3" fontId="2" fillId="0" borderId="1" xfId="1" applyNumberFormat="1" applyFont="1" applyBorder="1" applyAlignment="1">
      <alignment horizontal="center"/>
    </xf>
    <xf numFmtId="3" fontId="2" fillId="0" borderId="14" xfId="1" applyNumberFormat="1" applyFont="1" applyBorder="1" applyAlignment="1">
      <alignment horizontal="center"/>
    </xf>
    <xf numFmtId="1" fontId="7" fillId="0" borderId="0" xfId="0" applyNumberFormat="1" applyFont="1"/>
    <xf numFmtId="9" fontId="2" fillId="0" borderId="11" xfId="2" applyFont="1" applyBorder="1"/>
    <xf numFmtId="1" fontId="2" fillId="0" borderId="6" xfId="0" applyNumberFormat="1" applyFont="1" applyBorder="1"/>
    <xf numFmtId="3" fontId="10" fillId="0" borderId="0" xfId="0" applyNumberFormat="1" applyFont="1"/>
    <xf numFmtId="3" fontId="10" fillId="0" borderId="3" xfId="0" applyNumberFormat="1" applyFont="1" applyBorder="1"/>
    <xf numFmtId="3" fontId="10" fillId="0" borderId="13" xfId="0" applyNumberFormat="1" applyFont="1" applyBorder="1"/>
    <xf numFmtId="3" fontId="10" fillId="0" borderId="12" xfId="0" applyNumberFormat="1" applyFont="1" applyBorder="1"/>
    <xf numFmtId="3" fontId="10" fillId="0" borderId="1" xfId="0" applyNumberFormat="1" applyFont="1" applyBorder="1"/>
    <xf numFmtId="3" fontId="10" fillId="0" borderId="4" xfId="0" applyNumberFormat="1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wrapText="1"/>
    </xf>
    <xf numFmtId="1" fontId="2" fillId="0" borderId="0" xfId="0" applyNumberFormat="1" applyFont="1" applyAlignment="1">
      <alignment horizontal="center" wrapText="1"/>
    </xf>
    <xf numFmtId="1" fontId="2" fillId="0" borderId="10" xfId="0" applyNumberFormat="1" applyFont="1" applyBorder="1" applyAlignment="1">
      <alignment wrapText="1"/>
    </xf>
    <xf numFmtId="0" fontId="0" fillId="0" borderId="0" xfId="0" applyAlignment="1">
      <alignment wrapText="1"/>
    </xf>
    <xf numFmtId="3" fontId="2" fillId="0" borderId="5" xfId="1" applyNumberFormat="1" applyFont="1" applyBorder="1" applyAlignment="1"/>
    <xf numFmtId="3" fontId="5" fillId="0" borderId="11" xfId="1" applyNumberFormat="1" applyFont="1" applyBorder="1"/>
    <xf numFmtId="165" fontId="2" fillId="0" borderId="5" xfId="0" applyNumberFormat="1" applyFont="1" applyBorder="1" applyAlignment="1">
      <alignment horizontal="center" vertical="center"/>
    </xf>
    <xf numFmtId="3" fontId="2" fillId="0" borderId="15" xfId="1" applyNumberFormat="1" applyFont="1" applyBorder="1" applyAlignment="1"/>
    <xf numFmtId="1" fontId="2" fillId="0" borderId="5" xfId="0" applyNumberFormat="1" applyFont="1" applyBorder="1" applyAlignment="1">
      <alignment horizontal="center"/>
    </xf>
    <xf numFmtId="3" fontId="2" fillId="0" borderId="6" xfId="1" applyNumberFormat="1" applyFont="1" applyBorder="1" applyAlignment="1"/>
    <xf numFmtId="1" fontId="2" fillId="0" borderId="3" xfId="0" applyNumberFormat="1" applyFont="1" applyBorder="1"/>
    <xf numFmtId="3" fontId="2" fillId="0" borderId="2" xfId="1" applyNumberFormat="1" applyFont="1" applyBorder="1" applyAlignment="1"/>
    <xf numFmtId="0" fontId="2" fillId="0" borderId="3" xfId="0" applyFont="1" applyBorder="1"/>
    <xf numFmtId="3" fontId="2" fillId="0" borderId="8" xfId="1" applyNumberFormat="1" applyFont="1" applyBorder="1" applyAlignment="1"/>
    <xf numFmtId="3" fontId="2" fillId="0" borderId="12" xfId="1" applyNumberFormat="1" applyFont="1" applyBorder="1" applyAlignment="1"/>
    <xf numFmtId="3" fontId="2" fillId="0" borderId="9" xfId="1" applyNumberFormat="1" applyFont="1" applyBorder="1" applyAlignment="1"/>
    <xf numFmtId="3" fontId="2" fillId="0" borderId="11" xfId="1" applyNumberFormat="1" applyFont="1" applyBorder="1" applyAlignment="1"/>
    <xf numFmtId="3" fontId="2" fillId="0" borderId="14" xfId="1" applyNumberFormat="1" applyFont="1" applyBorder="1" applyAlignment="1"/>
    <xf numFmtId="1" fontId="3" fillId="0" borderId="2" xfId="0" applyNumberFormat="1" applyFont="1" applyBorder="1"/>
    <xf numFmtId="1" fontId="2" fillId="0" borderId="15" xfId="0" applyNumberFormat="1" applyFont="1" applyBorder="1" applyAlignment="1">
      <alignment horizontal="center"/>
    </xf>
    <xf numFmtId="3" fontId="2" fillId="0" borderId="7" xfId="1" applyNumberFormat="1" applyFont="1" applyBorder="1" applyAlignment="1"/>
    <xf numFmtId="1" fontId="2" fillId="0" borderId="10" xfId="0" applyNumberFormat="1" applyFont="1" applyBorder="1" applyAlignment="1">
      <alignment horizontal="center"/>
    </xf>
    <xf numFmtId="3" fontId="5" fillId="0" borderId="12" xfId="0" applyNumberFormat="1" applyFont="1" applyBorder="1"/>
    <xf numFmtId="3" fontId="5" fillId="0" borderId="11" xfId="1" applyNumberFormat="1" applyFont="1" applyFill="1" applyBorder="1"/>
    <xf numFmtId="165" fontId="2" fillId="0" borderId="3" xfId="0" applyNumberFormat="1" applyFont="1" applyBorder="1" applyAlignment="1">
      <alignment horizontal="center" vertical="center"/>
    </xf>
    <xf numFmtId="3" fontId="11" fillId="0" borderId="12" xfId="0" applyNumberFormat="1" applyFont="1" applyBorder="1"/>
    <xf numFmtId="3" fontId="12" fillId="0" borderId="1" xfId="1" applyNumberFormat="1" applyFont="1" applyBorder="1" applyAlignment="1"/>
    <xf numFmtId="165" fontId="2" fillId="0" borderId="4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4"/>
  <sheetViews>
    <sheetView tabSelected="1" workbookViewId="0">
      <selection activeCell="I12" sqref="I12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2020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122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4" t="s">
        <v>14</v>
      </c>
      <c r="G11" s="145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6">
        <v>1</v>
      </c>
      <c r="D14" s="35">
        <f>D15+D21+D22</f>
        <v>13480524</v>
      </c>
      <c r="E14" s="120">
        <f>E15+E21+E22</f>
        <v>94674072</v>
      </c>
      <c r="F14" s="35">
        <f>(F16-F17)/0.26</f>
        <v>34753757.692307688</v>
      </c>
      <c r="G14" s="36">
        <f>(G16-G17)/0.23</f>
        <v>1067952.1739130435</v>
      </c>
      <c r="H14" s="37">
        <f t="shared" ref="H14:H27" si="0">SUM(D14:G14)</f>
        <v>143976305.86622071</v>
      </c>
    </row>
    <row r="15" spans="1:8" hidden="1" outlineLevel="1">
      <c r="A15" s="23"/>
      <c r="B15" s="38" t="s">
        <v>25</v>
      </c>
      <c r="C15" s="147"/>
      <c r="D15" s="40">
        <v>13048924</v>
      </c>
      <c r="E15" s="41">
        <v>94584003</v>
      </c>
      <c r="F15" s="35"/>
      <c r="G15" s="36"/>
      <c r="H15" s="37"/>
    </row>
    <row r="16" spans="1:8" hidden="1" outlineLevel="1">
      <c r="A16" s="23"/>
      <c r="B16" s="38" t="s">
        <v>26</v>
      </c>
      <c r="C16" s="147"/>
      <c r="D16" s="40"/>
      <c r="E16" s="41"/>
      <c r="F16" s="40">
        <v>9240107</v>
      </c>
      <c r="G16" s="41">
        <v>245629</v>
      </c>
      <c r="H16" s="37"/>
    </row>
    <row r="17" spans="1:8" hidden="1" outlineLevel="1">
      <c r="A17" s="23"/>
      <c r="B17" s="38" t="s">
        <v>27</v>
      </c>
      <c r="C17" s="147"/>
      <c r="D17" s="40"/>
      <c r="E17" s="41"/>
      <c r="F17" s="40">
        <v>204130</v>
      </c>
      <c r="G17" s="41">
        <v>0</v>
      </c>
      <c r="H17" s="37"/>
    </row>
    <row r="18" spans="1:8" collapsed="1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312113</v>
      </c>
      <c r="E19" s="109">
        <v>2220565</v>
      </c>
      <c r="F19" s="46"/>
      <c r="G19" s="47"/>
      <c r="H19" s="37">
        <f t="shared" si="0"/>
        <v>2532678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61239</v>
      </c>
      <c r="E21" s="109">
        <v>90069</v>
      </c>
      <c r="F21" s="51"/>
      <c r="G21" s="52"/>
      <c r="H21" s="53">
        <f t="shared" si="0"/>
        <v>151308</v>
      </c>
    </row>
    <row r="22" spans="1:8">
      <c r="A22" s="5"/>
      <c r="B22" s="54" t="s">
        <v>36</v>
      </c>
      <c r="C22" s="48">
        <v>24</v>
      </c>
      <c r="D22" s="110">
        <v>370361</v>
      </c>
      <c r="E22" s="111">
        <v>0</v>
      </c>
      <c r="F22" s="49"/>
      <c r="G22" s="50"/>
      <c r="H22" s="37">
        <f t="shared" si="0"/>
        <v>370361</v>
      </c>
    </row>
    <row r="23" spans="1:8">
      <c r="A23" s="5"/>
      <c r="B23" s="55" t="s">
        <v>37</v>
      </c>
      <c r="C23" s="31">
        <v>25</v>
      </c>
      <c r="D23" s="108">
        <v>0</v>
      </c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-124944</v>
      </c>
      <c r="E24" s="111"/>
      <c r="F24" s="49"/>
      <c r="G24" s="50"/>
      <c r="H24" s="37">
        <f t="shared" si="0"/>
        <v>-124944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868657</v>
      </c>
      <c r="E28" s="53">
        <f>SUM(E19:E23)-E24</f>
        <v>2310634</v>
      </c>
      <c r="F28" s="53">
        <f>SUM(F19:F23)-F24</f>
        <v>0</v>
      </c>
      <c r="G28" s="53">
        <f>SUM(G19:G23)-G24</f>
        <v>0</v>
      </c>
      <c r="H28" s="50">
        <f>SUM(H19:H23)-H24</f>
        <v>3179291</v>
      </c>
    </row>
    <row r="29" spans="1:8">
      <c r="A29" s="61" t="s">
        <v>43</v>
      </c>
      <c r="B29" s="62"/>
      <c r="C29" s="48">
        <v>40</v>
      </c>
      <c r="D29" s="49">
        <f>D14-D28</f>
        <v>12611867</v>
      </c>
      <c r="E29" s="63">
        <f>E14-E28</f>
        <v>92363438</v>
      </c>
      <c r="F29" s="50">
        <f>F14+F18-F28</f>
        <v>34753757.692307688</v>
      </c>
      <c r="G29" s="49">
        <f>G14-G28</f>
        <v>1067952.1739130435</v>
      </c>
      <c r="H29" s="50">
        <f>H14-H28</f>
        <v>140797014.86622071</v>
      </c>
    </row>
    <row r="30" spans="1:8">
      <c r="A30" s="23" t="s">
        <v>44</v>
      </c>
      <c r="B30" s="45" t="s">
        <v>45</v>
      </c>
      <c r="C30" s="33">
        <v>51</v>
      </c>
      <c r="D30" s="112">
        <v>18576</v>
      </c>
      <c r="E30" s="113">
        <v>12196</v>
      </c>
      <c r="F30" s="64"/>
      <c r="G30" s="65"/>
      <c r="H30" s="37">
        <f t="shared" ref="H30:H39" si="1">SUM(D30:G30)</f>
        <v>30772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40050</v>
      </c>
      <c r="E36" s="111">
        <v>19127</v>
      </c>
      <c r="F36" s="64"/>
      <c r="G36" s="65"/>
      <c r="H36" s="37">
        <f t="shared" si="1"/>
        <v>59177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58626</v>
      </c>
      <c r="E47" s="50">
        <f>SUM(E30:E41)</f>
        <v>31323</v>
      </c>
      <c r="F47" s="49">
        <f>SUM(F30:F41)</f>
        <v>0</v>
      </c>
      <c r="G47" s="50">
        <f>SUM(G30:G41)</f>
        <v>0</v>
      </c>
      <c r="H47" s="37">
        <f>SUM(H30:H41)</f>
        <v>89949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12553241</v>
      </c>
      <c r="E48" s="50">
        <f>E29-E47</f>
        <v>92332115</v>
      </c>
      <c r="F48" s="49">
        <f>F29-F47</f>
        <v>34753757.692307688</v>
      </c>
      <c r="G48" s="50">
        <f>G29-G47</f>
        <v>1067952.1739130435</v>
      </c>
      <c r="H48" s="37">
        <f>SUM(D48:G48)</f>
        <v>140707065.86622071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12553241</v>
      </c>
      <c r="E57" s="59">
        <f>SUM(E48:E56)</f>
        <v>92332115</v>
      </c>
      <c r="F57" s="58">
        <f>SUM(F48:F56)</f>
        <v>34753757.692307688</v>
      </c>
      <c r="G57" s="59">
        <f>SUM(G48:G56)</f>
        <v>1067952.1739130435</v>
      </c>
      <c r="H57" s="69">
        <f>SUM(H48:H56)</f>
        <v>140707065.86622071</v>
      </c>
    </row>
    <row r="58" spans="1:8">
      <c r="A58" s="75"/>
      <c r="B58" s="76" t="s">
        <v>75</v>
      </c>
      <c r="C58" s="33"/>
      <c r="D58" s="58">
        <f>D57</f>
        <v>12553241</v>
      </c>
      <c r="E58" s="60">
        <f>E57</f>
        <v>92332115</v>
      </c>
      <c r="F58" s="59">
        <f>F57</f>
        <v>34753757.692307688</v>
      </c>
      <c r="G58" s="69">
        <f>G57</f>
        <v>1067952.1739130435</v>
      </c>
      <c r="H58" s="50">
        <f>H57</f>
        <v>140707065.86622071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2020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January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108154596</v>
      </c>
      <c r="F84" s="96">
        <f>(+F28+F29+G29)-(F85-F86)</f>
        <v>35821709.866220735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96"/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108154596</v>
      </c>
      <c r="F87" s="96">
        <f>(F84+F85)-F86</f>
        <v>35821709.866220735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34753757.692307688</v>
      </c>
      <c r="G91" s="103">
        <f>G14</f>
        <v>1067952.1739130435</v>
      </c>
      <c r="H91" s="104">
        <f>F91+G91</f>
        <v>35821709.866220735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4"/>
  <sheetViews>
    <sheetView topLeftCell="A9" workbookViewId="0">
      <selection activeCell="E22" sqref="E22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2020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128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4" t="s">
        <v>14</v>
      </c>
      <c r="G11" s="145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6">
        <v>1</v>
      </c>
      <c r="D14" s="35">
        <f>D15+D21+D22</f>
        <v>12441593</v>
      </c>
      <c r="E14" s="120">
        <f>E15+E21+E22</f>
        <v>92729096</v>
      </c>
      <c r="F14" s="35">
        <f>(F16-F17)/0.26</f>
        <v>39346565.384615384</v>
      </c>
      <c r="G14" s="36">
        <f>(G16-G17)/0.23</f>
        <v>374504.34782608692</v>
      </c>
      <c r="H14" s="37">
        <f t="shared" ref="H14:H27" si="0">SUM(D14:G14)</f>
        <v>144891758.73244148</v>
      </c>
    </row>
    <row r="15" spans="1:8" hidden="1" outlineLevel="1">
      <c r="A15" s="23"/>
      <c r="B15" s="38" t="s">
        <v>25</v>
      </c>
      <c r="C15" s="147"/>
      <c r="D15" s="40">
        <v>12026502</v>
      </c>
      <c r="E15" s="41">
        <v>92626598</v>
      </c>
      <c r="F15" s="35"/>
      <c r="G15" s="36"/>
      <c r="H15" s="37"/>
    </row>
    <row r="16" spans="1:8" hidden="1" outlineLevel="1">
      <c r="A16" s="23"/>
      <c r="B16" s="38" t="s">
        <v>26</v>
      </c>
      <c r="C16" s="147"/>
      <c r="D16" s="40"/>
      <c r="E16" s="41"/>
      <c r="F16" s="40">
        <v>10438875</v>
      </c>
      <c r="G16" s="41">
        <v>86136</v>
      </c>
      <c r="H16" s="37"/>
    </row>
    <row r="17" spans="1:8" hidden="1" outlineLevel="1">
      <c r="A17" s="23"/>
      <c r="B17" s="38" t="s">
        <v>27</v>
      </c>
      <c r="C17" s="147"/>
      <c r="D17" s="40"/>
      <c r="E17" s="41"/>
      <c r="F17" s="40">
        <v>208768</v>
      </c>
      <c r="G17" s="41">
        <v>0</v>
      </c>
      <c r="H17" s="37"/>
    </row>
    <row r="18" spans="1:8" collapsed="1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285965</v>
      </c>
      <c r="E19" s="109">
        <v>2169316</v>
      </c>
      <c r="F19" s="46"/>
      <c r="G19" s="47"/>
      <c r="H19" s="37">
        <f t="shared" si="0"/>
        <v>2455281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58145</v>
      </c>
      <c r="E21" s="109">
        <v>102498</v>
      </c>
      <c r="F21" s="51"/>
      <c r="G21" s="52"/>
      <c r="H21" s="53">
        <f t="shared" si="0"/>
        <v>160643</v>
      </c>
    </row>
    <row r="22" spans="1:8">
      <c r="A22" s="5"/>
      <c r="B22" s="54" t="s">
        <v>36</v>
      </c>
      <c r="C22" s="48">
        <v>24</v>
      </c>
      <c r="D22" s="110">
        <v>356946</v>
      </c>
      <c r="E22" s="111">
        <v>0</v>
      </c>
      <c r="F22" s="49"/>
      <c r="G22" s="50"/>
      <c r="H22" s="37">
        <f t="shared" si="0"/>
        <v>356946</v>
      </c>
    </row>
    <row r="23" spans="1:8">
      <c r="A23" s="5"/>
      <c r="B23" s="55" t="s">
        <v>37</v>
      </c>
      <c r="C23" s="31">
        <v>25</v>
      </c>
      <c r="D23" s="108">
        <v>0</v>
      </c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38">
        <v>1486</v>
      </c>
      <c r="E24" s="111"/>
      <c r="F24" s="49"/>
      <c r="G24" s="50"/>
      <c r="H24" s="37">
        <f t="shared" si="0"/>
        <v>1486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699570</v>
      </c>
      <c r="E28" s="53">
        <f>SUM(E19:E23)-E24</f>
        <v>2271814</v>
      </c>
      <c r="F28" s="53">
        <f>SUM(F19:F23)-F24</f>
        <v>0</v>
      </c>
      <c r="G28" s="53">
        <f>SUM(G19:G23)-G24</f>
        <v>0</v>
      </c>
      <c r="H28" s="50">
        <f>SUM(H19:H23)-H24</f>
        <v>2971384</v>
      </c>
    </row>
    <row r="29" spans="1:8">
      <c r="A29" s="61" t="s">
        <v>43</v>
      </c>
      <c r="B29" s="62"/>
      <c r="C29" s="48">
        <v>40</v>
      </c>
      <c r="D29" s="49">
        <f>D14-D28</f>
        <v>11742023</v>
      </c>
      <c r="E29" s="63">
        <f>E14-E28</f>
        <v>90457282</v>
      </c>
      <c r="F29" s="50">
        <f>F14+F18-F28</f>
        <v>39346565.384615384</v>
      </c>
      <c r="G29" s="49">
        <f>G14-G28</f>
        <v>374504.34782608692</v>
      </c>
      <c r="H29" s="50">
        <f>H14-H28</f>
        <v>141920374.73244148</v>
      </c>
    </row>
    <row r="30" spans="1:8">
      <c r="A30" s="23" t="s">
        <v>44</v>
      </c>
      <c r="B30" s="45" t="s">
        <v>45</v>
      </c>
      <c r="C30" s="33">
        <v>51</v>
      </c>
      <c r="D30" s="112">
        <v>18386</v>
      </c>
      <c r="E30" s="113">
        <v>18126</v>
      </c>
      <c r="F30" s="64"/>
      <c r="G30" s="65"/>
      <c r="H30" s="37">
        <f t="shared" ref="H30:H39" si="1">SUM(D30:G30)</f>
        <v>36512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15581</v>
      </c>
      <c r="E36" s="111">
        <v>490</v>
      </c>
      <c r="F36" s="64"/>
      <c r="G36" s="65"/>
      <c r="H36" s="37">
        <f t="shared" si="1"/>
        <v>16071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33967</v>
      </c>
      <c r="E47" s="50">
        <f>SUM(E30:E41)</f>
        <v>18616</v>
      </c>
      <c r="F47" s="49">
        <f>SUM(F30:F41)</f>
        <v>0</v>
      </c>
      <c r="G47" s="50">
        <f>SUM(G30:G41)</f>
        <v>0</v>
      </c>
      <c r="H47" s="37">
        <f>SUM(H30:H41)</f>
        <v>52583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11708056</v>
      </c>
      <c r="E48" s="50">
        <f>E29-E47</f>
        <v>90438666</v>
      </c>
      <c r="F48" s="49">
        <f>F29-F47</f>
        <v>39346565.384615384</v>
      </c>
      <c r="G48" s="50">
        <f>G29-G47</f>
        <v>374504.34782608692</v>
      </c>
      <c r="H48" s="37">
        <f>SUM(D48:G48)</f>
        <v>141867791.73244148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11708056</v>
      </c>
      <c r="E57" s="59">
        <f>SUM(E48:E56)</f>
        <v>90438666</v>
      </c>
      <c r="F57" s="58">
        <f>SUM(F48:F56)</f>
        <v>39346565.384615384</v>
      </c>
      <c r="G57" s="59">
        <f>SUM(G48:G56)</f>
        <v>374504.34782608692</v>
      </c>
      <c r="H57" s="69">
        <f>SUM(H48:H56)</f>
        <v>141867791.73244148</v>
      </c>
    </row>
    <row r="58" spans="1:8">
      <c r="A58" s="75"/>
      <c r="B58" s="76" t="s">
        <v>75</v>
      </c>
      <c r="C58" s="33"/>
      <c r="D58" s="58">
        <f>D57+'Jan20'!D58</f>
        <v>24261297</v>
      </c>
      <c r="E58" s="50">
        <f>E57+'Jan20'!E58</f>
        <v>182770781</v>
      </c>
      <c r="F58" s="50">
        <f>F57+'Jan20'!F58</f>
        <v>74100323.076923072</v>
      </c>
      <c r="G58" s="50">
        <f>G57+'Jan20'!G58</f>
        <v>1442456.5217391304</v>
      </c>
      <c r="H58" s="50">
        <f>H57+'Jan20'!H58</f>
        <v>282574857.5986622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2020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February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105170689</v>
      </c>
      <c r="F84" s="96">
        <f>(+F28+F29+G29)-(F85-F86)</f>
        <v>39721069.73244147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139">
        <f>0/0.26</f>
        <v>0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105170689</v>
      </c>
      <c r="F87" s="96">
        <f>(F84+F85)-F86</f>
        <v>39721069.73244147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39346565.384615384</v>
      </c>
      <c r="G91" s="103">
        <f>G14</f>
        <v>374504.34782608692</v>
      </c>
      <c r="H91" s="104">
        <f>F91+G91</f>
        <v>39721069.73244147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24"/>
  <sheetViews>
    <sheetView topLeftCell="A7" workbookViewId="0">
      <selection activeCell="E23" sqref="E23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2020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129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4" t="s">
        <v>14</v>
      </c>
      <c r="G11" s="145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6">
        <v>1</v>
      </c>
      <c r="D14" s="35">
        <f>D15+D21+D22</f>
        <v>12745732</v>
      </c>
      <c r="E14" s="120">
        <f>E15+E21+E22</f>
        <v>89032199</v>
      </c>
      <c r="F14" s="35">
        <f>(F16-F17)/0.26</f>
        <v>40229242.307692304</v>
      </c>
      <c r="G14" s="36">
        <f>(G16-G17)/0.23</f>
        <v>715643.47826086951</v>
      </c>
      <c r="H14" s="37">
        <f t="shared" ref="H14:H27" si="0">SUM(D14:G14)</f>
        <v>142722816.78595316</v>
      </c>
    </row>
    <row r="15" spans="1:8" hidden="1" outlineLevel="1">
      <c r="A15" s="23"/>
      <c r="B15" s="38" t="s">
        <v>25</v>
      </c>
      <c r="C15" s="147"/>
      <c r="D15" s="40">
        <v>12216232</v>
      </c>
      <c r="E15" s="41">
        <v>88938958</v>
      </c>
      <c r="F15" s="35"/>
      <c r="G15" s="36"/>
      <c r="H15" s="37"/>
    </row>
    <row r="16" spans="1:8" hidden="1" outlineLevel="1">
      <c r="A16" s="23"/>
      <c r="B16" s="38" t="s">
        <v>26</v>
      </c>
      <c r="C16" s="147"/>
      <c r="D16" s="40"/>
      <c r="E16" s="41"/>
      <c r="F16" s="40">
        <v>10632194</v>
      </c>
      <c r="G16" s="41">
        <v>164598</v>
      </c>
      <c r="H16" s="37"/>
    </row>
    <row r="17" spans="1:8" hidden="1" outlineLevel="1">
      <c r="A17" s="23"/>
      <c r="B17" s="38" t="s">
        <v>27</v>
      </c>
      <c r="C17" s="147"/>
      <c r="D17" s="40"/>
      <c r="E17" s="41"/>
      <c r="F17" s="40">
        <v>172591</v>
      </c>
      <c r="G17" s="41">
        <v>0</v>
      </c>
      <c r="H17" s="37"/>
    </row>
    <row r="18" spans="1:8" collapsed="1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7665100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292711</v>
      </c>
      <c r="E19" s="109">
        <v>2080445</v>
      </c>
      <c r="F19" s="46"/>
      <c r="G19" s="47"/>
      <c r="H19" s="37">
        <f t="shared" si="0"/>
        <v>2373156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63931</v>
      </c>
      <c r="E21" s="109">
        <v>93241</v>
      </c>
      <c r="F21" s="51"/>
      <c r="G21" s="52"/>
      <c r="H21" s="53">
        <f t="shared" si="0"/>
        <v>157172</v>
      </c>
    </row>
    <row r="22" spans="1:8">
      <c r="A22" s="5"/>
      <c r="B22" s="54" t="s">
        <v>36</v>
      </c>
      <c r="C22" s="48">
        <v>24</v>
      </c>
      <c r="D22" s="110">
        <v>465569</v>
      </c>
      <c r="E22" s="111">
        <v>0</v>
      </c>
      <c r="F22" s="49"/>
      <c r="G22" s="50"/>
      <c r="H22" s="37">
        <f t="shared" si="0"/>
        <v>465569</v>
      </c>
    </row>
    <row r="23" spans="1:8">
      <c r="A23" s="5"/>
      <c r="B23" s="55" t="s">
        <v>37</v>
      </c>
      <c r="C23" s="31">
        <v>25</v>
      </c>
      <c r="D23" s="108">
        <v>0</v>
      </c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41">
        <v>2474</v>
      </c>
      <c r="E24" s="111"/>
      <c r="F24" s="49"/>
      <c r="G24" s="50"/>
      <c r="H24" s="37">
        <f t="shared" si="0"/>
        <v>2474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819737</v>
      </c>
      <c r="E28" s="53">
        <f>SUM(E19:E23)-E24</f>
        <v>2173686</v>
      </c>
      <c r="F28" s="53">
        <f>SUM(F19:F23)-F24</f>
        <v>0</v>
      </c>
      <c r="G28" s="53">
        <f>SUM(G19:G23)-G24</f>
        <v>0</v>
      </c>
      <c r="H28" s="50">
        <f>SUM(H19:H23)-H24</f>
        <v>2993423</v>
      </c>
    </row>
    <row r="29" spans="1:8">
      <c r="A29" s="61" t="s">
        <v>43</v>
      </c>
      <c r="B29" s="62"/>
      <c r="C29" s="48">
        <v>40</v>
      </c>
      <c r="D29" s="49">
        <f>D14-D28</f>
        <v>11925995</v>
      </c>
      <c r="E29" s="63">
        <f>E14-E28</f>
        <v>86858513</v>
      </c>
      <c r="F29" s="50">
        <f>F14+F18-F28</f>
        <v>47894342.307692304</v>
      </c>
      <c r="G29" s="49">
        <f>G14-G28</f>
        <v>715643.47826086951</v>
      </c>
      <c r="H29" s="50">
        <f>H14-H28</f>
        <v>139729393.78595316</v>
      </c>
    </row>
    <row r="30" spans="1:8">
      <c r="A30" s="23" t="s">
        <v>44</v>
      </c>
      <c r="B30" s="45" t="s">
        <v>45</v>
      </c>
      <c r="C30" s="33">
        <v>51</v>
      </c>
      <c r="D30" s="112">
        <v>27360</v>
      </c>
      <c r="E30" s="113">
        <v>5558</v>
      </c>
      <c r="F30" s="64"/>
      <c r="G30" s="65"/>
      <c r="H30" s="37">
        <f t="shared" ref="H30:H39" si="1">SUM(D30:G30)</f>
        <v>32918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9596</v>
      </c>
      <c r="E36" s="111"/>
      <c r="F36" s="64"/>
      <c r="G36" s="65"/>
      <c r="H36" s="37">
        <f t="shared" si="1"/>
        <v>9596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36956</v>
      </c>
      <c r="E47" s="50">
        <f>SUM(E30:E41)</f>
        <v>5558</v>
      </c>
      <c r="F47" s="49">
        <f>SUM(F30:F41)</f>
        <v>0</v>
      </c>
      <c r="G47" s="50">
        <f>SUM(G30:G41)</f>
        <v>0</v>
      </c>
      <c r="H47" s="37">
        <f>SUM(H30:H41)</f>
        <v>42514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11889039</v>
      </c>
      <c r="E48" s="50">
        <f>E29-E47</f>
        <v>86852955</v>
      </c>
      <c r="F48" s="49">
        <f>F29-F47</f>
        <v>47894342.307692304</v>
      </c>
      <c r="G48" s="50">
        <f>G29-G47</f>
        <v>715643.47826086951</v>
      </c>
      <c r="H48" s="37">
        <f>SUM(D48:G48)</f>
        <v>147351979.78595316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11889039</v>
      </c>
      <c r="E57" s="59">
        <f>SUM(E48:E56)</f>
        <v>86852955</v>
      </c>
      <c r="F57" s="58">
        <f>SUM(F48:F56)</f>
        <v>47894342.307692304</v>
      </c>
      <c r="G57" s="59">
        <f>SUM(G48:G56)</f>
        <v>715643.47826086951</v>
      </c>
      <c r="H57" s="69">
        <f>SUM(H48:H56)</f>
        <v>147351979.78595316</v>
      </c>
    </row>
    <row r="58" spans="1:8">
      <c r="A58" s="75"/>
      <c r="B58" s="76" t="s">
        <v>75</v>
      </c>
      <c r="C58" s="33"/>
      <c r="D58" s="58">
        <f>D57+'Feb20'!D58</f>
        <v>36150336</v>
      </c>
      <c r="E58" s="58">
        <f>E57+'Feb20'!E58</f>
        <v>269623736</v>
      </c>
      <c r="F58" s="58">
        <f>F57+'Feb20'!F58</f>
        <v>121994665.38461538</v>
      </c>
      <c r="G58" s="58">
        <f>G57+'Feb20'!G58</f>
        <v>2158100</v>
      </c>
      <c r="H58" s="58">
        <f>H57+'Feb20'!H58</f>
        <v>429926837.38461536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2020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March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101777931</v>
      </c>
      <c r="F84" s="96">
        <f>(+F28+F29+G29)-(F85-F86)</f>
        <v>40944885.785953172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121">
        <f>1992926/0.26</f>
        <v>7665100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101777931</v>
      </c>
      <c r="F87" s="96">
        <f>(F84+F85)-F86</f>
        <v>48609985.785953172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40229242.307692304</v>
      </c>
      <c r="G91" s="103">
        <f>G14</f>
        <v>715643.47826086951</v>
      </c>
      <c r="H91" s="104">
        <f>F91+G91</f>
        <v>40944885.785953172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24"/>
  <sheetViews>
    <sheetView topLeftCell="A10" workbookViewId="0">
      <selection activeCell="E23" sqref="E23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2020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130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4" t="s">
        <v>14</v>
      </c>
      <c r="G11" s="145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6">
        <v>1</v>
      </c>
      <c r="D14" s="35">
        <f>D15+D21+D22</f>
        <v>10775984</v>
      </c>
      <c r="E14" s="120">
        <f>E15+E21+E22</f>
        <v>65012251</v>
      </c>
      <c r="F14" s="35">
        <f>(F16-F17)/0.26</f>
        <v>38889503.846153848</v>
      </c>
      <c r="G14" s="36">
        <f>(G16-G17)/0.23</f>
        <v>1024321.7391304347</v>
      </c>
      <c r="H14" s="37">
        <f t="shared" ref="H14:H27" si="0">SUM(D14:G14)</f>
        <v>115702060.58528429</v>
      </c>
    </row>
    <row r="15" spans="1:8" hidden="1" outlineLevel="1">
      <c r="A15" s="23"/>
      <c r="B15" s="38" t="s">
        <v>25</v>
      </c>
      <c r="C15" s="147"/>
      <c r="D15" s="40">
        <v>10273991</v>
      </c>
      <c r="E15" s="41">
        <v>64933217</v>
      </c>
      <c r="F15" s="35"/>
      <c r="G15" s="36"/>
      <c r="H15" s="37"/>
    </row>
    <row r="16" spans="1:8" hidden="1" outlineLevel="1">
      <c r="A16" s="23"/>
      <c r="B16" s="38" t="s">
        <v>132</v>
      </c>
      <c r="C16" s="147"/>
      <c r="D16" s="40"/>
      <c r="E16" s="41"/>
      <c r="F16" s="40">
        <v>10228713</v>
      </c>
      <c r="G16" s="41">
        <v>235594</v>
      </c>
      <c r="H16" s="37"/>
    </row>
    <row r="17" spans="1:8" hidden="1" outlineLevel="1">
      <c r="A17" s="23"/>
      <c r="B17" s="38" t="s">
        <v>133</v>
      </c>
      <c r="C17" s="147"/>
      <c r="D17" s="40"/>
      <c r="E17" s="41"/>
      <c r="F17" s="40">
        <v>117442</v>
      </c>
      <c r="G17" s="41">
        <v>0</v>
      </c>
      <c r="H17" s="37"/>
    </row>
    <row r="18" spans="1:8" collapsed="1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245165</v>
      </c>
      <c r="E19" s="109">
        <v>1508390</v>
      </c>
      <c r="F19" s="46"/>
      <c r="G19" s="47"/>
      <c r="H19" s="37">
        <f t="shared" si="0"/>
        <v>1753555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52129</v>
      </c>
      <c r="E21" s="109">
        <v>79034</v>
      </c>
      <c r="F21" s="51"/>
      <c r="G21" s="52"/>
      <c r="H21" s="53">
        <f t="shared" si="0"/>
        <v>131163</v>
      </c>
    </row>
    <row r="22" spans="1:8">
      <c r="A22" s="5"/>
      <c r="B22" s="54" t="s">
        <v>36</v>
      </c>
      <c r="C22" s="48">
        <v>24</v>
      </c>
      <c r="D22" s="110">
        <v>449864</v>
      </c>
      <c r="E22" s="111">
        <v>0</v>
      </c>
      <c r="F22" s="49"/>
      <c r="G22" s="50"/>
      <c r="H22" s="37">
        <f t="shared" si="0"/>
        <v>449864</v>
      </c>
    </row>
    <row r="23" spans="1:8">
      <c r="A23" s="5"/>
      <c r="B23" s="55" t="s">
        <v>37</v>
      </c>
      <c r="C23" s="31">
        <v>25</v>
      </c>
      <c r="D23" s="108">
        <v>0</v>
      </c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103303</v>
      </c>
      <c r="E24" s="111"/>
      <c r="F24" s="49"/>
      <c r="G24" s="50"/>
      <c r="H24" s="37">
        <f t="shared" si="0"/>
        <v>103303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643855</v>
      </c>
      <c r="E28" s="53">
        <f>SUM(E19:E23)-E24</f>
        <v>1587424</v>
      </c>
      <c r="F28" s="53">
        <f>SUM(F19:F23)-F24</f>
        <v>0</v>
      </c>
      <c r="G28" s="53">
        <f>SUM(G19:G23)-G24</f>
        <v>0</v>
      </c>
      <c r="H28" s="50">
        <f>SUM(H19:H23)-H24</f>
        <v>2231279</v>
      </c>
    </row>
    <row r="29" spans="1:8">
      <c r="A29" s="61" t="s">
        <v>43</v>
      </c>
      <c r="B29" s="62"/>
      <c r="C29" s="48">
        <v>40</v>
      </c>
      <c r="D29" s="49">
        <f>D14-D28</f>
        <v>10132129</v>
      </c>
      <c r="E29" s="63">
        <f>E14-E28</f>
        <v>63424827</v>
      </c>
      <c r="F29" s="50">
        <f>F14+F18-F28</f>
        <v>38889503.846153848</v>
      </c>
      <c r="G29" s="49">
        <f>G14-G28</f>
        <v>1024321.7391304347</v>
      </c>
      <c r="H29" s="50">
        <f>H14-H28</f>
        <v>113470781.58528429</v>
      </c>
    </row>
    <row r="30" spans="1:8">
      <c r="A30" s="23" t="s">
        <v>44</v>
      </c>
      <c r="B30" s="45" t="s">
        <v>45</v>
      </c>
      <c r="C30" s="33">
        <v>51</v>
      </c>
      <c r="D30" s="112">
        <v>9555</v>
      </c>
      <c r="E30" s="113">
        <v>3455</v>
      </c>
      <c r="F30" s="64"/>
      <c r="G30" s="65"/>
      <c r="H30" s="37">
        <f t="shared" ref="H30:H39" si="1">SUM(D30:G30)</f>
        <v>13010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25262</v>
      </c>
      <c r="E36" s="111">
        <v>14489</v>
      </c>
      <c r="F36" s="64"/>
      <c r="G36" s="65"/>
      <c r="H36" s="37">
        <f t="shared" si="1"/>
        <v>39751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34817</v>
      </c>
      <c r="E47" s="50">
        <f>SUM(E30:E41)</f>
        <v>17944</v>
      </c>
      <c r="F47" s="49">
        <f>SUM(F30:F41)</f>
        <v>0</v>
      </c>
      <c r="G47" s="50">
        <f>SUM(G30:G41)</f>
        <v>0</v>
      </c>
      <c r="H47" s="37">
        <f>SUM(H30:H41)</f>
        <v>52761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10097312</v>
      </c>
      <c r="E48" s="50">
        <f>E29-E47</f>
        <v>63406883</v>
      </c>
      <c r="F48" s="49">
        <f>F29-F47</f>
        <v>38889503.846153848</v>
      </c>
      <c r="G48" s="50">
        <f>G29-G47</f>
        <v>1024321.7391304347</v>
      </c>
      <c r="H48" s="37">
        <f>SUM(D48:G48)</f>
        <v>113418020.58528429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10097312</v>
      </c>
      <c r="E57" s="59">
        <f>SUM(E48:E56)</f>
        <v>63406883</v>
      </c>
      <c r="F57" s="58">
        <f>SUM(F48:F56)</f>
        <v>38889503.846153848</v>
      </c>
      <c r="G57" s="59">
        <f>SUM(G48:G56)</f>
        <v>1024321.7391304347</v>
      </c>
      <c r="H57" s="69">
        <f>SUM(H48:H56)</f>
        <v>113418020.58528429</v>
      </c>
    </row>
    <row r="58" spans="1:8">
      <c r="A58" s="75"/>
      <c r="B58" s="76" t="s">
        <v>75</v>
      </c>
      <c r="C58" s="33"/>
      <c r="D58" s="58">
        <f>D57+'Mar20'!D58</f>
        <v>46247648</v>
      </c>
      <c r="E58" s="50">
        <f>E57+'Mar20'!E58</f>
        <v>333030619</v>
      </c>
      <c r="F58" s="50">
        <f>F57+'Mar20'!F58</f>
        <v>160884169.23076922</v>
      </c>
      <c r="G58" s="50">
        <f>G57+'Mar20'!G58</f>
        <v>3182421.7391304346</v>
      </c>
      <c r="H58" s="50">
        <f>H57+'Mar20'!H58</f>
        <v>543344857.96989965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2020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April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75788235</v>
      </c>
      <c r="F84" s="96">
        <f>(+F28+F29+G29)-(F85-F86)</f>
        <v>39913825.585284285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96">
        <f>0/0.26</f>
        <v>0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75788235</v>
      </c>
      <c r="F87" s="96">
        <f>(F84+F85)-F86</f>
        <v>39913825.585284285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38889503.846153848</v>
      </c>
      <c r="G91" s="103">
        <f>G14</f>
        <v>1024321.7391304347</v>
      </c>
      <c r="H91" s="104">
        <f>F91+G91</f>
        <v>39913825.585284285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24"/>
  <sheetViews>
    <sheetView topLeftCell="A10" workbookViewId="0">
      <selection activeCell="E22" sqref="E22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2020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131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4" t="s">
        <v>14</v>
      </c>
      <c r="G11" s="145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6">
        <v>1</v>
      </c>
      <c r="D14" s="35">
        <f>D15+D21+D22</f>
        <v>10966738</v>
      </c>
      <c r="E14" s="120">
        <f>E15+E21+E22</f>
        <v>84698569</v>
      </c>
      <c r="F14" s="35">
        <f>(F16-F17)/0.26</f>
        <v>41541280.769230768</v>
      </c>
      <c r="G14" s="36">
        <f>(G16-G17)/0.23</f>
        <v>686443.47826086951</v>
      </c>
      <c r="H14" s="37">
        <f t="shared" ref="H14:H27" si="0">SUM(D14:G14)</f>
        <v>137893031.24749166</v>
      </c>
    </row>
    <row r="15" spans="1:8" hidden="1" outlineLevel="1">
      <c r="A15" s="23"/>
      <c r="B15" s="38" t="s">
        <v>25</v>
      </c>
      <c r="C15" s="147"/>
      <c r="D15" s="40">
        <v>10422336</v>
      </c>
      <c r="E15" s="41">
        <v>84614673</v>
      </c>
      <c r="F15" s="35"/>
      <c r="G15" s="36"/>
      <c r="H15" s="37"/>
    </row>
    <row r="16" spans="1:8" hidden="1" outlineLevel="1">
      <c r="A16" s="23"/>
      <c r="B16" s="38" t="s">
        <v>132</v>
      </c>
      <c r="C16" s="147"/>
      <c r="D16" s="40"/>
      <c r="E16" s="41"/>
      <c r="F16" s="40">
        <v>10961313</v>
      </c>
      <c r="G16" s="41">
        <v>157882</v>
      </c>
      <c r="H16" s="37"/>
    </row>
    <row r="17" spans="1:8" hidden="1" outlineLevel="1">
      <c r="A17" s="23"/>
      <c r="B17" s="38" t="s">
        <v>133</v>
      </c>
      <c r="C17" s="147"/>
      <c r="D17" s="40"/>
      <c r="E17" s="41"/>
      <c r="F17" s="40">
        <v>160580</v>
      </c>
      <c r="G17" s="41">
        <v>0</v>
      </c>
      <c r="H17" s="37"/>
    </row>
    <row r="18" spans="1:8" collapsed="1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246000</v>
      </c>
      <c r="E19" s="109">
        <v>1948816</v>
      </c>
      <c r="F19" s="46"/>
      <c r="G19" s="47"/>
      <c r="H19" s="37">
        <f t="shared" si="0"/>
        <v>2194816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2633</v>
      </c>
      <c r="F20" s="46"/>
      <c r="G20" s="47"/>
      <c r="H20" s="37">
        <f t="shared" si="0"/>
        <v>2633</v>
      </c>
    </row>
    <row r="21" spans="1:8">
      <c r="A21" s="5" t="s">
        <v>34</v>
      </c>
      <c r="B21" s="45" t="s">
        <v>35</v>
      </c>
      <c r="C21" s="31">
        <v>23</v>
      </c>
      <c r="D21" s="108">
        <v>46787</v>
      </c>
      <c r="E21" s="109">
        <v>83896</v>
      </c>
      <c r="F21" s="51"/>
      <c r="G21" s="52"/>
      <c r="H21" s="53">
        <f t="shared" si="0"/>
        <v>130683</v>
      </c>
    </row>
    <row r="22" spans="1:8">
      <c r="A22" s="5"/>
      <c r="B22" s="54" t="s">
        <v>36</v>
      </c>
      <c r="C22" s="48">
        <v>24</v>
      </c>
      <c r="D22" s="110">
        <v>497615</v>
      </c>
      <c r="E22" s="111">
        <v>0</v>
      </c>
      <c r="F22" s="49"/>
      <c r="G22" s="50"/>
      <c r="H22" s="37">
        <f t="shared" si="0"/>
        <v>497615</v>
      </c>
    </row>
    <row r="23" spans="1:8">
      <c r="A23" s="5"/>
      <c r="B23" s="55" t="s">
        <v>37</v>
      </c>
      <c r="C23" s="31">
        <v>25</v>
      </c>
      <c r="D23" s="108">
        <v>0</v>
      </c>
      <c r="E23" s="109"/>
      <c r="F23" s="56"/>
      <c r="G23" s="5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-144022</v>
      </c>
      <c r="E24" s="111"/>
      <c r="F24" s="49"/>
      <c r="G24" s="50"/>
      <c r="H24" s="37">
        <f t="shared" si="0"/>
        <v>-144022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934424</v>
      </c>
      <c r="E28" s="53">
        <f>SUM(E19:E23)-E24</f>
        <v>2035345</v>
      </c>
      <c r="F28" s="53">
        <f>SUM(F19:F23)-F24</f>
        <v>0</v>
      </c>
      <c r="G28" s="53">
        <f>SUM(G19:G23)-G24</f>
        <v>0</v>
      </c>
      <c r="H28" s="50">
        <f>SUM(H19:H23)-H24</f>
        <v>2969769</v>
      </c>
    </row>
    <row r="29" spans="1:8">
      <c r="A29" s="61" t="s">
        <v>43</v>
      </c>
      <c r="B29" s="62"/>
      <c r="C29" s="48">
        <v>40</v>
      </c>
      <c r="D29" s="49">
        <f>D14-D28</f>
        <v>10032314</v>
      </c>
      <c r="E29" s="63">
        <f>E14-E28</f>
        <v>82663224</v>
      </c>
      <c r="F29" s="50">
        <f>F14+F18-F28</f>
        <v>41541280.769230768</v>
      </c>
      <c r="G29" s="49">
        <f>G14-G28</f>
        <v>686443.47826086951</v>
      </c>
      <c r="H29" s="50">
        <f>H14-H28</f>
        <v>134923262.24749166</v>
      </c>
    </row>
    <row r="30" spans="1:8">
      <c r="A30" s="23" t="s">
        <v>44</v>
      </c>
      <c r="B30" s="45" t="s">
        <v>45</v>
      </c>
      <c r="C30" s="33">
        <v>51</v>
      </c>
      <c r="D30" s="112">
        <v>9006</v>
      </c>
      <c r="E30" s="113">
        <v>11279</v>
      </c>
      <c r="F30" s="64"/>
      <c r="G30" s="65"/>
      <c r="H30" s="37">
        <f t="shared" ref="H30:H39" si="1">SUM(D30:G30)</f>
        <v>20285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62929</v>
      </c>
      <c r="E36" s="111">
        <v>1178</v>
      </c>
      <c r="F36" s="64"/>
      <c r="G36" s="65"/>
      <c r="H36" s="37">
        <f t="shared" si="1"/>
        <v>64107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71935</v>
      </c>
      <c r="E47" s="50">
        <f>SUM(E30:E41)</f>
        <v>12457</v>
      </c>
      <c r="F47" s="49">
        <f>SUM(F30:F41)</f>
        <v>0</v>
      </c>
      <c r="G47" s="50">
        <f>SUM(G30:G41)</f>
        <v>0</v>
      </c>
      <c r="H47" s="37">
        <f>SUM(H30:H41)</f>
        <v>84392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9960379</v>
      </c>
      <c r="E48" s="50">
        <f>E29-E47</f>
        <v>82650767</v>
      </c>
      <c r="F48" s="49">
        <f>F29-F47</f>
        <v>41541280.769230768</v>
      </c>
      <c r="G48" s="50">
        <f>G29-G47</f>
        <v>686443.47826086951</v>
      </c>
      <c r="H48" s="37">
        <f>SUM(D48:G48)</f>
        <v>134838870.24749163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9960379</v>
      </c>
      <c r="E57" s="59">
        <f>SUM(E48:E56)</f>
        <v>82650767</v>
      </c>
      <c r="F57" s="58">
        <f>SUM(F48:F56)</f>
        <v>41541280.769230768</v>
      </c>
      <c r="G57" s="59">
        <f>SUM(G48:G56)</f>
        <v>686443.47826086951</v>
      </c>
      <c r="H57" s="69">
        <f>SUM(H48:H56)</f>
        <v>134838870.24749163</v>
      </c>
    </row>
    <row r="58" spans="1:8">
      <c r="A58" s="75"/>
      <c r="B58" s="76" t="s">
        <v>75</v>
      </c>
      <c r="C58" s="33"/>
      <c r="D58" s="58">
        <f>D57+'Apr20'!D58</f>
        <v>56208027</v>
      </c>
      <c r="E58" s="58">
        <f>E57+'Apr20'!E58</f>
        <v>415681386</v>
      </c>
      <c r="F58" s="58">
        <f>F57+'Apr20'!F58</f>
        <v>202425450</v>
      </c>
      <c r="G58" s="58">
        <f>G57+'Apr20'!G58</f>
        <v>3868865.2173913042</v>
      </c>
      <c r="H58" s="37">
        <f>H57+'Apr20'!H58</f>
        <v>678183728.21739125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126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2020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May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95665307</v>
      </c>
      <c r="F84" s="96">
        <f>(+F28+F29+G29)-(F85-F86)</f>
        <v>42227724.247491635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96">
        <f>0/0.26</f>
        <v>0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95665307</v>
      </c>
      <c r="F87" s="96">
        <f>(F84+F85)-F86</f>
        <v>42227724.247491635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41541280.769230768</v>
      </c>
      <c r="G91" s="103">
        <f>G14</f>
        <v>686443.47826086951</v>
      </c>
      <c r="H91" s="104">
        <f>F91+G91</f>
        <v>42227724.247491635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24"/>
  <sheetViews>
    <sheetView topLeftCell="A10" workbookViewId="0">
      <selection activeCell="E23" sqref="E23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2020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135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4" t="s">
        <v>14</v>
      </c>
      <c r="G11" s="145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6">
        <v>1</v>
      </c>
      <c r="D14" s="35">
        <f>D15+D21+D22</f>
        <v>12964185</v>
      </c>
      <c r="E14" s="120">
        <f>E15+E21+E22</f>
        <v>97656283</v>
      </c>
      <c r="F14" s="35">
        <f>(F16-F17)/0.26</f>
        <v>36145911.538461536</v>
      </c>
      <c r="G14" s="36">
        <f>(G16-G17)/0.23</f>
        <v>179060.86956521738</v>
      </c>
      <c r="H14" s="37">
        <f t="shared" ref="H14:H27" si="0">SUM(D14:G14)</f>
        <v>146945440.40802675</v>
      </c>
    </row>
    <row r="15" spans="1:8" hidden="1" outlineLevel="1">
      <c r="A15" s="23"/>
      <c r="B15" s="38" t="s">
        <v>25</v>
      </c>
      <c r="C15" s="147"/>
      <c r="D15" s="40">
        <v>12348564</v>
      </c>
      <c r="E15" s="41">
        <v>97563537</v>
      </c>
      <c r="F15" s="35"/>
      <c r="G15" s="36"/>
      <c r="H15" s="37"/>
    </row>
    <row r="16" spans="1:8" hidden="1" outlineLevel="1">
      <c r="A16" s="23"/>
      <c r="B16" s="38" t="s">
        <v>132</v>
      </c>
      <c r="C16" s="147"/>
      <c r="D16" s="40"/>
      <c r="E16" s="41"/>
      <c r="F16" s="40">
        <v>9497259</v>
      </c>
      <c r="G16" s="41">
        <v>41184</v>
      </c>
      <c r="H16" s="37"/>
    </row>
    <row r="17" spans="1:8" hidden="1" outlineLevel="1">
      <c r="A17" s="23"/>
      <c r="B17" s="38" t="s">
        <v>133</v>
      </c>
      <c r="C17" s="147"/>
      <c r="D17" s="40"/>
      <c r="E17" s="41"/>
      <c r="F17" s="40">
        <v>99322</v>
      </c>
      <c r="G17" s="41">
        <v>0</v>
      </c>
      <c r="H17" s="37"/>
    </row>
    <row r="18" spans="1:8" collapsed="1">
      <c r="A18" s="42" t="s">
        <v>28</v>
      </c>
      <c r="B18" s="6" t="s">
        <v>29</v>
      </c>
      <c r="C18" s="39">
        <v>2</v>
      </c>
      <c r="D18" s="43"/>
      <c r="E18" s="44"/>
      <c r="F18" s="142">
        <f>F85</f>
        <v>7395642.307692307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292089</v>
      </c>
      <c r="E19" s="109">
        <v>2234326</v>
      </c>
      <c r="F19" s="46"/>
      <c r="G19" s="47"/>
      <c r="H19" s="37">
        <f t="shared" si="0"/>
        <v>2526415</v>
      </c>
    </row>
    <row r="20" spans="1:8">
      <c r="A20" s="5" t="s">
        <v>32</v>
      </c>
      <c r="B20" s="10" t="s">
        <v>33</v>
      </c>
      <c r="C20" s="48">
        <v>22</v>
      </c>
      <c r="D20" s="110"/>
      <c r="E20" s="111"/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49953</v>
      </c>
      <c r="E21" s="109">
        <v>92746</v>
      </c>
      <c r="F21" s="46"/>
      <c r="G21" s="47"/>
      <c r="H21" s="53">
        <f t="shared" si="0"/>
        <v>142699</v>
      </c>
    </row>
    <row r="22" spans="1:8">
      <c r="A22" s="5"/>
      <c r="B22" s="54" t="s">
        <v>36</v>
      </c>
      <c r="C22" s="48">
        <v>24</v>
      </c>
      <c r="D22" s="110">
        <v>565668</v>
      </c>
      <c r="E22" s="111">
        <v>0</v>
      </c>
      <c r="F22" s="46"/>
      <c r="G22" s="47"/>
      <c r="H22" s="37">
        <f t="shared" si="0"/>
        <v>565668</v>
      </c>
    </row>
    <row r="23" spans="1:8">
      <c r="A23" s="5"/>
      <c r="B23" s="55" t="s">
        <v>37</v>
      </c>
      <c r="C23" s="31">
        <v>25</v>
      </c>
      <c r="D23" s="108"/>
      <c r="E23" s="109"/>
      <c r="F23" s="46"/>
      <c r="G23" s="4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5509</v>
      </c>
      <c r="E24" s="111"/>
      <c r="F24" s="46"/>
      <c r="G24" s="47"/>
      <c r="H24" s="37">
        <f t="shared" si="0"/>
        <v>5509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902201</v>
      </c>
      <c r="E28" s="53">
        <f>SUM(E19:E23)-E24</f>
        <v>2327072</v>
      </c>
      <c r="F28" s="53">
        <f>SUM(F19:F23)-F24</f>
        <v>0</v>
      </c>
      <c r="G28" s="53">
        <f>SUM(G19:G23)-G24</f>
        <v>0</v>
      </c>
      <c r="H28" s="50">
        <f>SUM(H19:H23)-H24</f>
        <v>3229273</v>
      </c>
    </row>
    <row r="29" spans="1:8">
      <c r="A29" s="61" t="s">
        <v>43</v>
      </c>
      <c r="B29" s="62"/>
      <c r="C29" s="48">
        <v>40</v>
      </c>
      <c r="D29" s="49">
        <f>D14-D28</f>
        <v>12061984</v>
      </c>
      <c r="E29" s="63">
        <f>E14-E28</f>
        <v>95329211</v>
      </c>
      <c r="F29" s="50">
        <f>F14+F18-F28</f>
        <v>43541553.84615384</v>
      </c>
      <c r="G29" s="49">
        <f>G14-G28</f>
        <v>179060.86956521738</v>
      </c>
      <c r="H29" s="50">
        <f>H14-H28</f>
        <v>143716167.40802675</v>
      </c>
    </row>
    <row r="30" spans="1:8">
      <c r="A30" s="23" t="s">
        <v>44</v>
      </c>
      <c r="B30" s="45" t="s">
        <v>45</v>
      </c>
      <c r="C30" s="33">
        <v>51</v>
      </c>
      <c r="D30" s="112">
        <v>10036</v>
      </c>
      <c r="E30" s="113">
        <v>3382</v>
      </c>
      <c r="F30" s="64"/>
      <c r="G30" s="65"/>
      <c r="H30" s="37">
        <f t="shared" ref="H30:H39" si="1">SUM(D30:G30)</f>
        <v>13418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16578</v>
      </c>
      <c r="E36" s="111">
        <v>4507</v>
      </c>
      <c r="F36" s="64"/>
      <c r="G36" s="65"/>
      <c r="H36" s="37">
        <f t="shared" si="1"/>
        <v>21085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26614</v>
      </c>
      <c r="E47" s="50">
        <f>SUM(E30:E41)</f>
        <v>7889</v>
      </c>
      <c r="F47" s="49">
        <f>SUM(F30:F41)</f>
        <v>0</v>
      </c>
      <c r="G47" s="50">
        <f>SUM(G30:G41)</f>
        <v>0</v>
      </c>
      <c r="H47" s="37">
        <f>SUM(H30:H41)</f>
        <v>34503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12035370</v>
      </c>
      <c r="E48" s="50">
        <f>E29-E47</f>
        <v>95321322</v>
      </c>
      <c r="F48" s="49">
        <f>F29-F47</f>
        <v>43541553.84615384</v>
      </c>
      <c r="G48" s="50">
        <f>G29-G47</f>
        <v>179060.86956521738</v>
      </c>
      <c r="H48" s="37">
        <f>SUM(D48:G48)</f>
        <v>151077306.71571907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12035370</v>
      </c>
      <c r="E57" s="59">
        <f>SUM(E48:E56)</f>
        <v>95321322</v>
      </c>
      <c r="F57" s="58">
        <f>SUM(F48:F56)</f>
        <v>43541553.84615384</v>
      </c>
      <c r="G57" s="59">
        <f>SUM(G48:G56)</f>
        <v>179060.86956521738</v>
      </c>
      <c r="H57" s="69">
        <f>SUM(H48:H56)</f>
        <v>151077306.71571907</v>
      </c>
    </row>
    <row r="58" spans="1:8">
      <c r="A58" s="75"/>
      <c r="B58" s="76" t="s">
        <v>75</v>
      </c>
      <c r="C58" s="33"/>
      <c r="D58" s="58">
        <f>D57+'May20'!D58</f>
        <v>68243397</v>
      </c>
      <c r="E58" s="58">
        <f>E57+'May20'!E58</f>
        <v>511002708</v>
      </c>
      <c r="F58" s="58">
        <f>F57+'May20'!F58</f>
        <v>245967003.84615386</v>
      </c>
      <c r="G58" s="58">
        <f>G57+'May20'!G58</f>
        <v>4047926.0869565215</v>
      </c>
      <c r="H58" s="58">
        <f>H57+'May20'!H58</f>
        <v>829261034.93311036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146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>H5</f>
        <v>2020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June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110620468</v>
      </c>
      <c r="F84" s="96">
        <f>(+F28+F29+G29)-(F85-F86)</f>
        <v>36324972.408026755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121">
        <f>1922867/0.26</f>
        <v>7395642.307692307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110620468</v>
      </c>
      <c r="F87" s="96">
        <f>(F84+F85)-F86</f>
        <v>43720614.715719059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36145911.538461536</v>
      </c>
      <c r="G91" s="103">
        <f>G14</f>
        <v>179060.86956521738</v>
      </c>
      <c r="H91" s="104">
        <f>F91+G91</f>
        <v>36324972.408026755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24"/>
  <sheetViews>
    <sheetView topLeftCell="A10" workbookViewId="0">
      <selection activeCell="E22" sqref="E22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2020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136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4" t="s">
        <v>14</v>
      </c>
      <c r="G11" s="145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6">
        <v>1</v>
      </c>
      <c r="D14" s="35">
        <f>D15+D21+D22</f>
        <v>13260315</v>
      </c>
      <c r="E14" s="120">
        <f>E15+E21+E22</f>
        <v>100244131</v>
      </c>
      <c r="F14" s="35">
        <f>(F16-F17)/0.26</f>
        <v>37746323.076923072</v>
      </c>
      <c r="G14" s="36">
        <f>(G16-G17)/0.23</f>
        <v>1134569.5652173914</v>
      </c>
      <c r="H14" s="37">
        <f t="shared" ref="H14:H27" si="0">SUM(D14:G14)</f>
        <v>152385338.64214048</v>
      </c>
    </row>
    <row r="15" spans="1:8" hidden="1" outlineLevel="1">
      <c r="A15" s="23"/>
      <c r="B15" s="38" t="s">
        <v>25</v>
      </c>
      <c r="C15" s="147"/>
      <c r="D15" s="40">
        <v>12488420</v>
      </c>
      <c r="E15" s="41">
        <v>100141076</v>
      </c>
      <c r="F15" s="35"/>
      <c r="G15" s="36"/>
      <c r="H15" s="37"/>
    </row>
    <row r="16" spans="1:8" hidden="1" outlineLevel="1">
      <c r="A16" s="23"/>
      <c r="B16" s="38" t="s">
        <v>132</v>
      </c>
      <c r="C16" s="147"/>
      <c r="D16" s="40"/>
      <c r="E16" s="41"/>
      <c r="F16" s="40">
        <v>10224013</v>
      </c>
      <c r="G16" s="41">
        <v>260951</v>
      </c>
      <c r="H16" s="37"/>
    </row>
    <row r="17" spans="1:8" hidden="1" outlineLevel="1">
      <c r="A17" s="23"/>
      <c r="B17" s="38" t="s">
        <v>133</v>
      </c>
      <c r="C17" s="147"/>
      <c r="D17" s="40"/>
      <c r="E17" s="41"/>
      <c r="F17" s="40">
        <v>409969</v>
      </c>
      <c r="G17" s="41">
        <v>0</v>
      </c>
      <c r="H17" s="37"/>
    </row>
    <row r="18" spans="1:8" collapsed="1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295418</v>
      </c>
      <c r="E19" s="109">
        <v>2308091</v>
      </c>
      <c r="F19" s="46"/>
      <c r="G19" s="47"/>
      <c r="H19" s="37">
        <f t="shared" si="0"/>
        <v>2603509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54137</v>
      </c>
      <c r="E21" s="109">
        <v>103055</v>
      </c>
      <c r="F21" s="46"/>
      <c r="G21" s="47"/>
      <c r="H21" s="53">
        <f t="shared" si="0"/>
        <v>157192</v>
      </c>
    </row>
    <row r="22" spans="1:8">
      <c r="A22" s="5"/>
      <c r="B22" s="54" t="s">
        <v>36</v>
      </c>
      <c r="C22" s="48">
        <v>24</v>
      </c>
      <c r="D22" s="110">
        <v>717758</v>
      </c>
      <c r="E22" s="111">
        <v>0</v>
      </c>
      <c r="F22" s="46"/>
      <c r="G22" s="47"/>
      <c r="H22" s="37">
        <f t="shared" si="0"/>
        <v>717758</v>
      </c>
    </row>
    <row r="23" spans="1:8">
      <c r="A23" s="5"/>
      <c r="B23" s="55" t="s">
        <v>37</v>
      </c>
      <c r="C23" s="31">
        <v>25</v>
      </c>
      <c r="D23" s="108"/>
      <c r="E23" s="109"/>
      <c r="F23" s="46"/>
      <c r="G23" s="4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-4502</v>
      </c>
      <c r="E24" s="111"/>
      <c r="F24" s="46"/>
      <c r="G24" s="47"/>
      <c r="H24" s="37">
        <f t="shared" si="0"/>
        <v>-4502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1071815</v>
      </c>
      <c r="E28" s="53">
        <f>SUM(E19:E23)-E24</f>
        <v>2411146</v>
      </c>
      <c r="F28" s="53">
        <f>SUM(F19:F23)-F24</f>
        <v>0</v>
      </c>
      <c r="G28" s="53">
        <f>SUM(G19:G23)-G24</f>
        <v>0</v>
      </c>
      <c r="H28" s="50">
        <f>SUM(H19:H23)-H24</f>
        <v>3482961</v>
      </c>
    </row>
    <row r="29" spans="1:8">
      <c r="A29" s="61" t="s">
        <v>43</v>
      </c>
      <c r="B29" s="62"/>
      <c r="C29" s="48">
        <v>40</v>
      </c>
      <c r="D29" s="49">
        <f>D14-D28</f>
        <v>12188500</v>
      </c>
      <c r="E29" s="63">
        <f>E14-E28</f>
        <v>97832985</v>
      </c>
      <c r="F29" s="50">
        <f>F14+F18-F28</f>
        <v>37746323.076923072</v>
      </c>
      <c r="G29" s="49">
        <f>G14-G28</f>
        <v>1134569.5652173914</v>
      </c>
      <c r="H29" s="50">
        <f>H14-H28</f>
        <v>148902377.64214048</v>
      </c>
    </row>
    <row r="30" spans="1:8">
      <c r="A30" s="23" t="s">
        <v>44</v>
      </c>
      <c r="B30" s="45" t="s">
        <v>45</v>
      </c>
      <c r="C30" s="33">
        <v>51</v>
      </c>
      <c r="D30" s="112">
        <v>6209</v>
      </c>
      <c r="E30" s="113"/>
      <c r="F30" s="64"/>
      <c r="G30" s="65"/>
      <c r="H30" s="37">
        <f t="shared" ref="H30:H39" si="1">SUM(D30:G30)</f>
        <v>6209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76510</v>
      </c>
      <c r="E36" s="111">
        <v>3310</v>
      </c>
      <c r="F36" s="64"/>
      <c r="G36" s="65"/>
      <c r="H36" s="37">
        <f t="shared" si="1"/>
        <v>79820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82719</v>
      </c>
      <c r="E47" s="50">
        <f>SUM(E30:E41)</f>
        <v>3310</v>
      </c>
      <c r="F47" s="49">
        <f>SUM(F30:F41)</f>
        <v>0</v>
      </c>
      <c r="G47" s="50">
        <f>SUM(G30:G41)</f>
        <v>0</v>
      </c>
      <c r="H47" s="37">
        <f>SUM(H30:H41)</f>
        <v>86029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12105781</v>
      </c>
      <c r="E48" s="50">
        <f>E29-E47</f>
        <v>97829675</v>
      </c>
      <c r="F48" s="49">
        <f>F29-F47</f>
        <v>37746323.076923072</v>
      </c>
      <c r="G48" s="50">
        <f>G29-G47</f>
        <v>1134569.5652173914</v>
      </c>
      <c r="H48" s="37">
        <f>SUM(D48:G48)</f>
        <v>148816348.64214048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12105781</v>
      </c>
      <c r="E57" s="59">
        <f>SUM(E48:E56)</f>
        <v>97829675</v>
      </c>
      <c r="F57" s="58">
        <f>SUM(F48:F56)</f>
        <v>37746323.076923072</v>
      </c>
      <c r="G57" s="59">
        <f>SUM(G48:G56)</f>
        <v>1134569.5652173914</v>
      </c>
      <c r="H57" s="69">
        <f>SUM(H48:H56)</f>
        <v>148816348.64214048</v>
      </c>
    </row>
    <row r="58" spans="1:8">
      <c r="A58" s="75"/>
      <c r="B58" s="76" t="s">
        <v>75</v>
      </c>
      <c r="C58" s="33"/>
      <c r="D58" s="58">
        <f>D57+June20!D58</f>
        <v>80349178</v>
      </c>
      <c r="E58" s="58">
        <f>E57+June20!E58</f>
        <v>608832383</v>
      </c>
      <c r="F58" s="58">
        <f>F57+June20!F58</f>
        <v>283713326.92307693</v>
      </c>
      <c r="G58" s="58">
        <f>G57+June20!G58</f>
        <v>5182495.6521739131</v>
      </c>
      <c r="H58" s="58">
        <f>H57+June20!H58</f>
        <v>978077383.57525086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146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2020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July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113504446</v>
      </c>
      <c r="F84" s="96">
        <f>(+F28+F29+G29)-(F85-F86)</f>
        <v>38880892.642140463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121"/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113504446</v>
      </c>
      <c r="F87" s="96">
        <f>(F84+F85)-F86</f>
        <v>38880892.642140463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37746323.076923072</v>
      </c>
      <c r="G91" s="103">
        <f>G14</f>
        <v>1134569.5652173914</v>
      </c>
      <c r="H91" s="104">
        <f>F91+G91</f>
        <v>38880892.642140463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24"/>
  <sheetViews>
    <sheetView topLeftCell="A8" workbookViewId="0">
      <selection activeCell="E22" sqref="E22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2020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137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4" t="s">
        <v>14</v>
      </c>
      <c r="G11" s="145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6">
        <v>1</v>
      </c>
      <c r="D14" s="35">
        <f>D15+D21+D22</f>
        <v>12742101</v>
      </c>
      <c r="E14" s="120">
        <f>E15+E21+E22</f>
        <v>99044802</v>
      </c>
      <c r="F14" s="35">
        <f>(F16-F17)/0.26</f>
        <v>44056123.076923072</v>
      </c>
      <c r="G14" s="36">
        <f>(G16-G17)/0.23</f>
        <v>141095.65217391303</v>
      </c>
      <c r="H14" s="37">
        <f t="shared" ref="H14:H27" si="0">SUM(D14:G14)</f>
        <v>155984121.72909698</v>
      </c>
    </row>
    <row r="15" spans="1:8" hidden="1" outlineLevel="1">
      <c r="A15" s="23"/>
      <c r="B15" s="38" t="s">
        <v>25</v>
      </c>
      <c r="C15" s="147"/>
      <c r="D15" s="40">
        <v>12089512</v>
      </c>
      <c r="E15" s="41">
        <v>98927607</v>
      </c>
      <c r="F15" s="35"/>
      <c r="G15" s="36"/>
      <c r="H15" s="37"/>
    </row>
    <row r="16" spans="1:8" hidden="1" outlineLevel="1">
      <c r="A16" s="23"/>
      <c r="B16" s="38" t="s">
        <v>132</v>
      </c>
      <c r="C16" s="147"/>
      <c r="D16" s="40"/>
      <c r="E16" s="41"/>
      <c r="F16" s="40">
        <v>11703472</v>
      </c>
      <c r="G16" s="41">
        <v>32452</v>
      </c>
      <c r="H16" s="37"/>
    </row>
    <row r="17" spans="1:8" hidden="1" outlineLevel="1">
      <c r="A17" s="23"/>
      <c r="B17" s="38" t="s">
        <v>133</v>
      </c>
      <c r="C17" s="147"/>
      <c r="D17" s="40"/>
      <c r="E17" s="41"/>
      <c r="F17" s="40">
        <v>248880</v>
      </c>
      <c r="G17" s="41">
        <v>0</v>
      </c>
      <c r="H17" s="37"/>
    </row>
    <row r="18" spans="1:8" collapsed="1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286522</v>
      </c>
      <c r="E19" s="109">
        <v>2278109</v>
      </c>
      <c r="F19" s="46"/>
      <c r="G19" s="47"/>
      <c r="H19" s="37">
        <f t="shared" si="0"/>
        <v>2564631</v>
      </c>
    </row>
    <row r="20" spans="1:8">
      <c r="A20" s="5" t="s">
        <v>32</v>
      </c>
      <c r="B20" s="10" t="s">
        <v>33</v>
      </c>
      <c r="C20" s="48">
        <v>22</v>
      </c>
      <c r="D20" s="110"/>
      <c r="E20" s="111"/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55449</v>
      </c>
      <c r="E21" s="109">
        <v>117195</v>
      </c>
      <c r="F21" s="46"/>
      <c r="G21" s="47"/>
      <c r="H21" s="53">
        <f t="shared" si="0"/>
        <v>172644</v>
      </c>
    </row>
    <row r="22" spans="1:8">
      <c r="A22" s="5"/>
      <c r="B22" s="54" t="s">
        <v>36</v>
      </c>
      <c r="C22" s="48">
        <v>24</v>
      </c>
      <c r="D22" s="108">
        <v>597140</v>
      </c>
      <c r="E22" s="111">
        <v>0</v>
      </c>
      <c r="F22" s="46"/>
      <c r="G22" s="47"/>
      <c r="H22" s="37">
        <f t="shared" si="0"/>
        <v>597140</v>
      </c>
    </row>
    <row r="23" spans="1:8">
      <c r="A23" s="5"/>
      <c r="B23" s="55" t="s">
        <v>37</v>
      </c>
      <c r="C23" s="31">
        <v>25</v>
      </c>
      <c r="D23" s="108"/>
      <c r="E23" s="109"/>
      <c r="F23" s="46"/>
      <c r="G23" s="4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9169</v>
      </c>
      <c r="E24" s="111"/>
      <c r="F24" s="46"/>
      <c r="G24" s="47"/>
      <c r="H24" s="37">
        <f t="shared" si="0"/>
        <v>9169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929942</v>
      </c>
      <c r="E28" s="53">
        <f>SUM(E19:E23)-E24</f>
        <v>2395304</v>
      </c>
      <c r="F28" s="53">
        <f>SUM(F19:F23)-F24</f>
        <v>0</v>
      </c>
      <c r="G28" s="53">
        <f>SUM(G19:G23)-G24</f>
        <v>0</v>
      </c>
      <c r="H28" s="50">
        <f>SUM(H19:H23)-H24</f>
        <v>3325246</v>
      </c>
    </row>
    <row r="29" spans="1:8">
      <c r="A29" s="61" t="s">
        <v>43</v>
      </c>
      <c r="B29" s="62"/>
      <c r="C29" s="48">
        <v>40</v>
      </c>
      <c r="D29" s="49">
        <f>D14-D28</f>
        <v>11812159</v>
      </c>
      <c r="E29" s="63">
        <f>E14-E28</f>
        <v>96649498</v>
      </c>
      <c r="F29" s="50">
        <f>F14+F18-F28</f>
        <v>44056123.076923072</v>
      </c>
      <c r="G29" s="49">
        <f>G14-G28</f>
        <v>141095.65217391303</v>
      </c>
      <c r="H29" s="50">
        <f>H14-H28</f>
        <v>152658875.72909698</v>
      </c>
    </row>
    <row r="30" spans="1:8">
      <c r="A30" s="23" t="s">
        <v>44</v>
      </c>
      <c r="B30" s="45" t="s">
        <v>45</v>
      </c>
      <c r="C30" s="33">
        <v>51</v>
      </c>
      <c r="D30" s="112">
        <v>6209</v>
      </c>
      <c r="E30" s="113"/>
      <c r="F30" s="64"/>
      <c r="G30" s="65"/>
      <c r="H30" s="37">
        <f t="shared" ref="H30:H39" si="1">SUM(D30:G30)</f>
        <v>6209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76510</v>
      </c>
      <c r="E36" s="138">
        <v>3310</v>
      </c>
      <c r="F36" s="64"/>
      <c r="G36" s="65"/>
      <c r="H36" s="37">
        <f t="shared" si="1"/>
        <v>79820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82719</v>
      </c>
      <c r="E47" s="50">
        <f>SUM(E30:E41)</f>
        <v>3310</v>
      </c>
      <c r="F47" s="49">
        <f>SUM(F30:F41)</f>
        <v>0</v>
      </c>
      <c r="G47" s="50">
        <f>SUM(G30:G41)</f>
        <v>0</v>
      </c>
      <c r="H47" s="37">
        <f>SUM(H30:H41)</f>
        <v>86029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11729440</v>
      </c>
      <c r="E48" s="50">
        <f>E29-E47</f>
        <v>96646188</v>
      </c>
      <c r="F48" s="49">
        <f>F29-F47</f>
        <v>44056123.076923072</v>
      </c>
      <c r="G48" s="50">
        <f>G29-G47</f>
        <v>141095.65217391303</v>
      </c>
      <c r="H48" s="37">
        <f>SUM(D48:G48)</f>
        <v>152572846.72909698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11729440</v>
      </c>
      <c r="E57" s="59">
        <f>SUM(E48:E56)</f>
        <v>96646188</v>
      </c>
      <c r="F57" s="58">
        <f>SUM(F48:F56)</f>
        <v>44056123.076923072</v>
      </c>
      <c r="G57" s="59">
        <f>SUM(G48:G56)</f>
        <v>141095.65217391303</v>
      </c>
      <c r="H57" s="69">
        <f>SUM(H48:H56)</f>
        <v>152572846.72909698</v>
      </c>
    </row>
    <row r="58" spans="1:8">
      <c r="A58" s="75"/>
      <c r="B58" s="76" t="s">
        <v>75</v>
      </c>
      <c r="C58" s="33"/>
      <c r="D58" s="58">
        <f>D57+'Jul20'!D58</f>
        <v>92078618</v>
      </c>
      <c r="E58" s="58">
        <f>E57+'Jul20'!E58</f>
        <v>705478571</v>
      </c>
      <c r="F58" s="58">
        <f>F57+'Jul20'!F58</f>
        <v>327769450</v>
      </c>
      <c r="G58" s="58">
        <f>G57+'Jul20'!G58</f>
        <v>5323591.3043478262</v>
      </c>
      <c r="H58" s="58">
        <f>H57+'Jul20'!H58</f>
        <v>1130650230.3043478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146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2020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August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111786903</v>
      </c>
      <c r="F84" s="96">
        <f>(+F28+F29+G29)-(F85-F86)</f>
        <v>44197218.729096986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121"/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111786903</v>
      </c>
      <c r="F87" s="96">
        <f>(F84+F85)-F86</f>
        <v>44197218.729096986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44056123.076923072</v>
      </c>
      <c r="G91" s="103">
        <f>G14</f>
        <v>141095.65217391303</v>
      </c>
      <c r="H91" s="104">
        <f>F91+G91</f>
        <v>44197218.729096986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24"/>
  <sheetViews>
    <sheetView topLeftCell="A7" workbookViewId="0">
      <selection activeCell="E22" sqref="E22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2020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138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4" t="s">
        <v>14</v>
      </c>
      <c r="G11" s="145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6">
        <v>1</v>
      </c>
      <c r="D14" s="35">
        <f>D15+D21+D22</f>
        <v>12141982</v>
      </c>
      <c r="E14" s="120">
        <f>E15+E21+E22</f>
        <v>94692511</v>
      </c>
      <c r="F14" s="35">
        <f>(F16-F17)/0.26</f>
        <v>35373176.92307692</v>
      </c>
      <c r="G14" s="36">
        <f>(G16-G17)/0.23</f>
        <v>684517.39130434778</v>
      </c>
      <c r="H14" s="37">
        <f t="shared" ref="H14:H27" si="0">SUM(D14:G14)</f>
        <v>142892187.31438127</v>
      </c>
    </row>
    <row r="15" spans="1:8" hidden="1" outlineLevel="1">
      <c r="A15" s="23"/>
      <c r="B15" s="38" t="s">
        <v>25</v>
      </c>
      <c r="C15" s="147"/>
      <c r="D15" s="40">
        <v>11408005</v>
      </c>
      <c r="E15" s="41">
        <v>94586919</v>
      </c>
      <c r="F15" s="35"/>
      <c r="G15" s="36"/>
      <c r="H15" s="37"/>
    </row>
    <row r="16" spans="1:8" hidden="1" outlineLevel="1">
      <c r="A16" s="23"/>
      <c r="B16" s="38" t="s">
        <v>132</v>
      </c>
      <c r="C16" s="147"/>
      <c r="D16" s="40"/>
      <c r="E16" s="41"/>
      <c r="F16" s="40">
        <v>9406984</v>
      </c>
      <c r="G16" s="41">
        <v>157439</v>
      </c>
      <c r="H16" s="37"/>
    </row>
    <row r="17" spans="1:8" hidden="1" outlineLevel="1">
      <c r="A17" s="23"/>
      <c r="B17" s="38" t="s">
        <v>133</v>
      </c>
      <c r="C17" s="147"/>
      <c r="D17" s="40"/>
      <c r="E17" s="41"/>
      <c r="F17" s="40">
        <v>209958</v>
      </c>
      <c r="G17" s="41">
        <v>0</v>
      </c>
      <c r="H17" s="37"/>
    </row>
    <row r="18" spans="1:8" collapsed="1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8673153.846153846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268870</v>
      </c>
      <c r="E19" s="109">
        <v>2180392</v>
      </c>
      <c r="F19" s="46"/>
      <c r="G19" s="47"/>
      <c r="H19" s="37">
        <f t="shared" si="0"/>
        <v>2449262</v>
      </c>
    </row>
    <row r="20" spans="1:8">
      <c r="A20" s="5" t="s">
        <v>32</v>
      </c>
      <c r="B20" s="10" t="s">
        <v>33</v>
      </c>
      <c r="C20" s="48">
        <v>22</v>
      </c>
      <c r="D20" s="110"/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52786</v>
      </c>
      <c r="E21" s="109">
        <v>105592</v>
      </c>
      <c r="F21" s="46"/>
      <c r="G21" s="47"/>
      <c r="H21" s="53">
        <f t="shared" si="0"/>
        <v>158378</v>
      </c>
    </row>
    <row r="22" spans="1:8">
      <c r="A22" s="5"/>
      <c r="B22" s="54" t="s">
        <v>36</v>
      </c>
      <c r="C22" s="48">
        <v>24</v>
      </c>
      <c r="D22" s="110">
        <v>681191</v>
      </c>
      <c r="E22" s="111">
        <v>0</v>
      </c>
      <c r="F22" s="46"/>
      <c r="G22" s="47"/>
      <c r="H22" s="37">
        <f t="shared" si="0"/>
        <v>681191</v>
      </c>
    </row>
    <row r="23" spans="1:8">
      <c r="A23" s="5"/>
      <c r="B23" s="55" t="s">
        <v>37</v>
      </c>
      <c r="C23" s="31">
        <v>25</v>
      </c>
      <c r="D23" s="108"/>
      <c r="E23" s="109"/>
      <c r="F23" s="46"/>
      <c r="G23" s="4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2410</v>
      </c>
      <c r="E24" s="111"/>
      <c r="F24" s="46"/>
      <c r="G24" s="47"/>
      <c r="H24" s="37">
        <f t="shared" si="0"/>
        <v>2410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1000437</v>
      </c>
      <c r="E28" s="53">
        <f>SUM(E19:E23)-E24</f>
        <v>2285984</v>
      </c>
      <c r="F28" s="53">
        <f>SUM(F19:F23)-F24</f>
        <v>0</v>
      </c>
      <c r="G28" s="53">
        <f>SUM(G19:G23)-G24</f>
        <v>0</v>
      </c>
      <c r="H28" s="50">
        <f>SUM(H19:H23)-H24</f>
        <v>3286421</v>
      </c>
    </row>
    <row r="29" spans="1:8">
      <c r="A29" s="61" t="s">
        <v>43</v>
      </c>
      <c r="B29" s="62"/>
      <c r="C29" s="48">
        <v>40</v>
      </c>
      <c r="D29" s="49">
        <f>D14-D28</f>
        <v>11141545</v>
      </c>
      <c r="E29" s="63">
        <f>E14-E28</f>
        <v>92406527</v>
      </c>
      <c r="F29" s="50">
        <f>F14+F18-F28</f>
        <v>44046330.769230768</v>
      </c>
      <c r="G29" s="49">
        <f>G14-G28</f>
        <v>684517.39130434778</v>
      </c>
      <c r="H29" s="50">
        <f>H14-H28</f>
        <v>139605766.31438127</v>
      </c>
    </row>
    <row r="30" spans="1:8">
      <c r="A30" s="23" t="s">
        <v>44</v>
      </c>
      <c r="B30" s="45" t="s">
        <v>45</v>
      </c>
      <c r="C30" s="33">
        <v>51</v>
      </c>
      <c r="D30" s="112"/>
      <c r="E30" s="113">
        <v>6606</v>
      </c>
      <c r="F30" s="64"/>
      <c r="G30" s="65"/>
      <c r="H30" s="37">
        <f t="shared" ref="H30:H39" si="1">SUM(D30:G30)</f>
        <v>6606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12578</v>
      </c>
      <c r="E36" s="111">
        <v>18410</v>
      </c>
      <c r="F36" s="64"/>
      <c r="G36" s="65"/>
      <c r="H36" s="37">
        <f t="shared" si="1"/>
        <v>30988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12578</v>
      </c>
      <c r="E47" s="50">
        <f>SUM(E30:E41)</f>
        <v>25016</v>
      </c>
      <c r="F47" s="49">
        <f>SUM(F30:F41)</f>
        <v>0</v>
      </c>
      <c r="G47" s="50">
        <f>SUM(G30:G41)</f>
        <v>0</v>
      </c>
      <c r="H47" s="37">
        <f>SUM(H30:H41)</f>
        <v>37594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11128967</v>
      </c>
      <c r="E48" s="50">
        <f>E29-E47</f>
        <v>92381511</v>
      </c>
      <c r="F48" s="49">
        <f>F29-F47</f>
        <v>44046330.769230768</v>
      </c>
      <c r="G48" s="50">
        <f>G29-G47</f>
        <v>684517.39130434778</v>
      </c>
      <c r="H48" s="37">
        <f>SUM(D48:G48)</f>
        <v>148241326.16053513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11128967</v>
      </c>
      <c r="E57" s="59">
        <f>SUM(E48:E56)</f>
        <v>92381511</v>
      </c>
      <c r="F57" s="58">
        <f>SUM(F48:F56)</f>
        <v>44046330.769230768</v>
      </c>
      <c r="G57" s="59">
        <f>SUM(G48:G56)</f>
        <v>684517.39130434778</v>
      </c>
      <c r="H57" s="69">
        <f>SUM(H48:H56)</f>
        <v>148241326.16053513</v>
      </c>
    </row>
    <row r="58" spans="1:8">
      <c r="A58" s="75"/>
      <c r="B58" s="76" t="s">
        <v>75</v>
      </c>
      <c r="C58" s="33"/>
      <c r="D58" s="58">
        <f>D57+'Aug20'!D58</f>
        <v>103207585</v>
      </c>
      <c r="E58" s="58">
        <f>E57+'Aug20'!E58</f>
        <v>797860082</v>
      </c>
      <c r="F58" s="58">
        <f>F57+'Aug20'!F58</f>
        <v>371815780.76923078</v>
      </c>
      <c r="G58" s="58">
        <f>G57+'Aug20'!G58</f>
        <v>6008108.6956521738</v>
      </c>
      <c r="H58" s="58">
        <f>H57+'Aug20'!H58</f>
        <v>1278891556.4648829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146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2020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September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106834493</v>
      </c>
      <c r="F84" s="96">
        <f>(+F28+F29+G29)-(F85-F86)</f>
        <v>36057694.314381272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96">
        <f>2255020/0.26</f>
        <v>8673153.846153846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106834493</v>
      </c>
      <c r="F87" s="96">
        <f>(F84+F85)-F86</f>
        <v>44730848.160535119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35373176.92307692</v>
      </c>
      <c r="G91" s="103">
        <f>G14</f>
        <v>684517.39130434778</v>
      </c>
      <c r="H91" s="104">
        <f>F91+G91</f>
        <v>36057694.314381272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24"/>
  <sheetViews>
    <sheetView topLeftCell="A7" workbookViewId="0">
      <selection activeCell="E23" sqref="E23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2020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139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4" t="s">
        <v>14</v>
      </c>
      <c r="G11" s="145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6">
        <v>1</v>
      </c>
      <c r="D14" s="35">
        <f>D15+D21+D22</f>
        <v>11765773</v>
      </c>
      <c r="E14" s="120">
        <f>E15+E21+E22</f>
        <v>98276753</v>
      </c>
      <c r="F14" s="35">
        <f>(F16-F17)/0.26</f>
        <v>43237353.846153848</v>
      </c>
      <c r="G14" s="36">
        <f>(G16-G17)/0.23</f>
        <v>1145460.8695652173</v>
      </c>
      <c r="H14" s="37">
        <f t="shared" ref="H14:H27" si="0">SUM(D14:G14)</f>
        <v>154425340.71571907</v>
      </c>
    </row>
    <row r="15" spans="1:8" hidden="1" outlineLevel="1">
      <c r="A15" s="23"/>
      <c r="B15" s="38" t="s">
        <v>25</v>
      </c>
      <c r="C15" s="147"/>
      <c r="D15" s="40">
        <v>11288473</v>
      </c>
      <c r="E15" s="41">
        <v>98169371</v>
      </c>
      <c r="F15" s="35"/>
      <c r="G15" s="36"/>
      <c r="H15" s="37"/>
    </row>
    <row r="16" spans="1:8" hidden="1" outlineLevel="1">
      <c r="A16" s="23"/>
      <c r="B16" s="38" t="s">
        <v>132</v>
      </c>
      <c r="C16" s="147"/>
      <c r="D16" s="40"/>
      <c r="E16" s="41"/>
      <c r="F16" s="40">
        <v>11479800</v>
      </c>
      <c r="G16" s="41">
        <v>263456</v>
      </c>
      <c r="H16" s="37"/>
    </row>
    <row r="17" spans="1:8" hidden="1" outlineLevel="1">
      <c r="A17" s="23"/>
      <c r="B17" s="38" t="s">
        <v>133</v>
      </c>
      <c r="C17" s="147"/>
      <c r="D17" s="40"/>
      <c r="E17" s="41"/>
      <c r="F17" s="40">
        <v>238088</v>
      </c>
      <c r="G17" s="41">
        <v>0</v>
      </c>
      <c r="H17" s="37"/>
    </row>
    <row r="18" spans="1:8" collapsed="1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266251</v>
      </c>
      <c r="E19" s="109">
        <v>2264365</v>
      </c>
      <c r="F19" s="46"/>
      <c r="G19" s="47"/>
      <c r="H19" s="37">
        <f t="shared" si="0"/>
        <v>2530616</v>
      </c>
    </row>
    <row r="20" spans="1:8">
      <c r="A20" s="5" t="s">
        <v>32</v>
      </c>
      <c r="B20" s="10" t="s">
        <v>33</v>
      </c>
      <c r="C20" s="48">
        <v>22</v>
      </c>
      <c r="D20" s="110"/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52908</v>
      </c>
      <c r="E21" s="109">
        <v>107382</v>
      </c>
      <c r="F21" s="46"/>
      <c r="G21" s="47"/>
      <c r="H21" s="53">
        <f t="shared" si="0"/>
        <v>160290</v>
      </c>
    </row>
    <row r="22" spans="1:8">
      <c r="A22" s="5"/>
      <c r="B22" s="54" t="s">
        <v>36</v>
      </c>
      <c r="C22" s="48">
        <v>24</v>
      </c>
      <c r="D22" s="110">
        <v>424392</v>
      </c>
      <c r="E22" s="111">
        <v>0</v>
      </c>
      <c r="F22" s="46"/>
      <c r="G22" s="47"/>
      <c r="H22" s="37">
        <f t="shared" si="0"/>
        <v>424392</v>
      </c>
    </row>
    <row r="23" spans="1:8">
      <c r="A23" s="5"/>
      <c r="B23" s="55" t="s">
        <v>37</v>
      </c>
      <c r="C23" s="31">
        <v>25</v>
      </c>
      <c r="D23" s="108"/>
      <c r="E23" s="109"/>
      <c r="F23" s="46"/>
      <c r="G23" s="4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-12786</v>
      </c>
      <c r="E24" s="111"/>
      <c r="F24" s="46"/>
      <c r="G24" s="47"/>
      <c r="H24" s="37">
        <f t="shared" si="0"/>
        <v>-12786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756337</v>
      </c>
      <c r="E28" s="53">
        <f>SUM(E19:E23)-E24</f>
        <v>2371747</v>
      </c>
      <c r="F28" s="53">
        <f>SUM(F19:F23)-F24</f>
        <v>0</v>
      </c>
      <c r="G28" s="53">
        <f>SUM(G19:G23)-G24</f>
        <v>0</v>
      </c>
      <c r="H28" s="50">
        <f>SUM(H19:H23)-H24</f>
        <v>3128084</v>
      </c>
    </row>
    <row r="29" spans="1:8">
      <c r="A29" s="61" t="s">
        <v>43</v>
      </c>
      <c r="B29" s="62"/>
      <c r="C29" s="48">
        <v>40</v>
      </c>
      <c r="D29" s="49">
        <f>D14-D28</f>
        <v>11009436</v>
      </c>
      <c r="E29" s="63">
        <f>E14-E28</f>
        <v>95905006</v>
      </c>
      <c r="F29" s="50">
        <f>F14+F18-F28</f>
        <v>43237353.846153848</v>
      </c>
      <c r="G29" s="49">
        <f>G14-G28</f>
        <v>1145460.8695652173</v>
      </c>
      <c r="H29" s="50">
        <f>H14-H28</f>
        <v>151297256.71571907</v>
      </c>
    </row>
    <row r="30" spans="1:8">
      <c r="A30" s="23" t="s">
        <v>44</v>
      </c>
      <c r="B30" s="45" t="s">
        <v>45</v>
      </c>
      <c r="C30" s="33">
        <v>51</v>
      </c>
      <c r="D30" s="112">
        <v>15478</v>
      </c>
      <c r="E30" s="113">
        <v>9358</v>
      </c>
      <c r="F30" s="64"/>
      <c r="G30" s="65"/>
      <c r="H30" s="37">
        <f t="shared" ref="H30:H39" si="1">SUM(D30:G30)</f>
        <v>24836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7221</v>
      </c>
      <c r="E36" s="111">
        <v>12490</v>
      </c>
      <c r="F36" s="64"/>
      <c r="G36" s="65"/>
      <c r="H36" s="37">
        <f t="shared" si="1"/>
        <v>19711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22699</v>
      </c>
      <c r="E47" s="50">
        <f>SUM(E30:E41)</f>
        <v>21848</v>
      </c>
      <c r="F47" s="49">
        <f>SUM(F30:F41)</f>
        <v>0</v>
      </c>
      <c r="G47" s="50">
        <f>SUM(G30:G41)</f>
        <v>0</v>
      </c>
      <c r="H47" s="37">
        <f>SUM(H30:H41)</f>
        <v>44547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10986737</v>
      </c>
      <c r="E48" s="50">
        <f>E29-E47</f>
        <v>95883158</v>
      </c>
      <c r="F48" s="49">
        <f>F29-F47</f>
        <v>43237353.846153848</v>
      </c>
      <c r="G48" s="50">
        <f>G29-G47</f>
        <v>1145460.8695652173</v>
      </c>
      <c r="H48" s="37">
        <f>SUM(D48:G48)</f>
        <v>151252709.71571907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10986737</v>
      </c>
      <c r="E57" s="59">
        <f>SUM(E48:E56)</f>
        <v>95883158</v>
      </c>
      <c r="F57" s="58">
        <f>SUM(F48:F56)</f>
        <v>43237353.846153848</v>
      </c>
      <c r="G57" s="59">
        <f>SUM(G48:G56)</f>
        <v>1145460.8695652173</v>
      </c>
      <c r="H57" s="69">
        <f>SUM(H48:H56)</f>
        <v>151252709.71571907</v>
      </c>
    </row>
    <row r="58" spans="1:8">
      <c r="A58" s="75"/>
      <c r="B58" s="76" t="s">
        <v>75</v>
      </c>
      <c r="C58" s="33"/>
      <c r="D58" s="58">
        <f>D57+'Sep20'!D58</f>
        <v>114194322</v>
      </c>
      <c r="E58" s="58">
        <f>E57+'Sep20'!E58</f>
        <v>893743240</v>
      </c>
      <c r="F58" s="58">
        <f>F57+'Sep20'!F58</f>
        <v>415053134.61538464</v>
      </c>
      <c r="G58" s="58">
        <f>G57+'Sep20'!G58</f>
        <v>7153569.5652173907</v>
      </c>
      <c r="H58" s="58">
        <f>H57+'Sep20'!H58</f>
        <v>1430144266.1806018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146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2020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October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110042526</v>
      </c>
      <c r="F84" s="96">
        <f>(+F28+F29+G29)-(F85-F86)</f>
        <v>44382814.715719067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121"/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110042526</v>
      </c>
      <c r="F87" s="96">
        <f>(F84+F85)-F86</f>
        <v>44382814.715719067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43237353.846153848</v>
      </c>
      <c r="G91" s="103">
        <f>G14</f>
        <v>1145460.8695652173</v>
      </c>
      <c r="H91" s="104">
        <f>F91+G91</f>
        <v>44382814.715719067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124"/>
  <sheetViews>
    <sheetView topLeftCell="A2" zoomScale="90" zoomScaleNormal="90" workbookViewId="0">
      <selection activeCell="E22" sqref="E22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2020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140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4" t="s">
        <v>14</v>
      </c>
      <c r="G11" s="145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6">
        <v>1</v>
      </c>
      <c r="D14" s="35">
        <f>D15+D21+D22</f>
        <v>10655194</v>
      </c>
      <c r="E14" s="120">
        <f>E15+E21+E22</f>
        <v>88718336</v>
      </c>
      <c r="F14" s="35">
        <f>(F16-F17)/0.26</f>
        <v>37855757.692307688</v>
      </c>
      <c r="G14" s="36">
        <f>(G16-G17)/0.23</f>
        <v>107430.43478260869</v>
      </c>
      <c r="H14" s="37">
        <f t="shared" ref="H14:H27" si="0">SUM(D14:G14)</f>
        <v>137336718.12709028</v>
      </c>
    </row>
    <row r="15" spans="1:8" hidden="1" outlineLevel="1">
      <c r="A15" s="23"/>
      <c r="B15" s="38" t="s">
        <v>25</v>
      </c>
      <c r="C15" s="147"/>
      <c r="D15" s="40">
        <v>10075251</v>
      </c>
      <c r="E15" s="41">
        <v>88603590</v>
      </c>
      <c r="F15" s="35"/>
      <c r="G15" s="36"/>
      <c r="H15" s="37"/>
    </row>
    <row r="16" spans="1:8" hidden="1" outlineLevel="1">
      <c r="A16" s="23"/>
      <c r="B16" s="38" t="s">
        <v>132</v>
      </c>
      <c r="C16" s="147"/>
      <c r="D16" s="40"/>
      <c r="E16" s="41"/>
      <c r="F16" s="40">
        <v>10121356</v>
      </c>
      <c r="G16" s="41">
        <v>24709</v>
      </c>
      <c r="H16" s="37"/>
    </row>
    <row r="17" spans="1:8" hidden="1" outlineLevel="1">
      <c r="A17" s="23"/>
      <c r="B17" s="38" t="s">
        <v>133</v>
      </c>
      <c r="C17" s="147"/>
      <c r="D17" s="40"/>
      <c r="E17" s="41"/>
      <c r="F17" s="40">
        <v>278859</v>
      </c>
      <c r="G17" s="41">
        <v>0</v>
      </c>
      <c r="H17" s="37"/>
    </row>
    <row r="18" spans="1:8" collapsed="1">
      <c r="A18" s="42" t="s">
        <v>28</v>
      </c>
      <c r="B18" s="6" t="s">
        <v>29</v>
      </c>
      <c r="C18" s="39">
        <v>2</v>
      </c>
      <c r="D18" s="43"/>
      <c r="E18" s="44"/>
      <c r="F18" s="43">
        <f>F85</f>
        <v>0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237356</v>
      </c>
      <c r="E19" s="109">
        <v>2036505</v>
      </c>
      <c r="F19" s="46"/>
      <c r="G19" s="47"/>
      <c r="H19" s="37">
        <f t="shared" si="0"/>
        <v>2273861</v>
      </c>
    </row>
    <row r="20" spans="1:8">
      <c r="A20" s="5" t="s">
        <v>32</v>
      </c>
      <c r="B20" s="10" t="s">
        <v>33</v>
      </c>
      <c r="C20" s="48">
        <v>22</v>
      </c>
      <c r="D20" s="110"/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52912</v>
      </c>
      <c r="E21" s="109">
        <v>114746</v>
      </c>
      <c r="F21" s="46"/>
      <c r="G21" s="47"/>
      <c r="H21" s="53">
        <f t="shared" si="0"/>
        <v>167658</v>
      </c>
    </row>
    <row r="22" spans="1:8">
      <c r="A22" s="5"/>
      <c r="B22" s="54" t="s">
        <v>36</v>
      </c>
      <c r="C22" s="48">
        <v>24</v>
      </c>
      <c r="D22" s="110">
        <v>527031</v>
      </c>
      <c r="E22" s="111">
        <v>0</v>
      </c>
      <c r="F22" s="46"/>
      <c r="G22" s="47"/>
      <c r="H22" s="37">
        <f t="shared" si="0"/>
        <v>527031</v>
      </c>
    </row>
    <row r="23" spans="1:8">
      <c r="A23" s="5"/>
      <c r="B23" s="55" t="s">
        <v>37</v>
      </c>
      <c r="C23" s="31">
        <v>25</v>
      </c>
      <c r="D23" s="108"/>
      <c r="E23" s="109"/>
      <c r="F23" s="46"/>
      <c r="G23" s="4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18081</v>
      </c>
      <c r="E24" s="111"/>
      <c r="F24" s="46"/>
      <c r="G24" s="47"/>
      <c r="H24" s="37">
        <f t="shared" si="0"/>
        <v>18081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799218</v>
      </c>
      <c r="E28" s="53">
        <f>SUM(E19:E23)-E24</f>
        <v>2151251</v>
      </c>
      <c r="F28" s="53">
        <f>SUM(F19:F23)-F24</f>
        <v>0</v>
      </c>
      <c r="G28" s="53">
        <f>SUM(G19:G23)-G24</f>
        <v>0</v>
      </c>
      <c r="H28" s="50">
        <f>SUM(H19:H23)-H24</f>
        <v>2950469</v>
      </c>
    </row>
    <row r="29" spans="1:8">
      <c r="A29" s="61" t="s">
        <v>43</v>
      </c>
      <c r="B29" s="62"/>
      <c r="C29" s="48">
        <v>40</v>
      </c>
      <c r="D29" s="49">
        <f>D14-D28</f>
        <v>9855976</v>
      </c>
      <c r="E29" s="63">
        <f>E14-E28</f>
        <v>86567085</v>
      </c>
      <c r="F29" s="50">
        <f>F14+F18-F28</f>
        <v>37855757.692307688</v>
      </c>
      <c r="G29" s="49">
        <f>G14-G28</f>
        <v>107430.43478260869</v>
      </c>
      <c r="H29" s="50">
        <f>H14-H28</f>
        <v>134386249.12709028</v>
      </c>
    </row>
    <row r="30" spans="1:8">
      <c r="A30" s="23" t="s">
        <v>44</v>
      </c>
      <c r="B30" s="45" t="s">
        <v>45</v>
      </c>
      <c r="C30" s="33">
        <v>51</v>
      </c>
      <c r="D30" s="112">
        <v>26937</v>
      </c>
      <c r="E30" s="113">
        <v>9393</v>
      </c>
      <c r="F30" s="64"/>
      <c r="G30" s="65"/>
      <c r="H30" s="37">
        <f t="shared" ref="H30:H39" si="1">SUM(D30:G30)</f>
        <v>36330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21035</v>
      </c>
      <c r="E36" s="111">
        <v>6498</v>
      </c>
      <c r="F36" s="64"/>
      <c r="G36" s="65"/>
      <c r="H36" s="37">
        <f t="shared" si="1"/>
        <v>27533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47972</v>
      </c>
      <c r="E47" s="50">
        <f>SUM(E30:E41)</f>
        <v>15891</v>
      </c>
      <c r="F47" s="49">
        <f>SUM(F30:F41)</f>
        <v>0</v>
      </c>
      <c r="G47" s="50">
        <f>SUM(G30:G41)</f>
        <v>0</v>
      </c>
      <c r="H47" s="37">
        <f>SUM(H30:H41)</f>
        <v>63863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9808004</v>
      </c>
      <c r="E48" s="50">
        <f>E29-E47</f>
        <v>86551194</v>
      </c>
      <c r="F48" s="49">
        <f>F29-F47</f>
        <v>37855757.692307688</v>
      </c>
      <c r="G48" s="50">
        <f>G29-G47</f>
        <v>107430.43478260869</v>
      </c>
      <c r="H48" s="37">
        <f>SUM(D48:G48)</f>
        <v>134322386.12709028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9808004</v>
      </c>
      <c r="E57" s="59">
        <f>SUM(E48:E56)</f>
        <v>86551194</v>
      </c>
      <c r="F57" s="58">
        <f>SUM(F48:F56)</f>
        <v>37855757.692307688</v>
      </c>
      <c r="G57" s="59">
        <f>SUM(G48:G56)</f>
        <v>107430.43478260869</v>
      </c>
      <c r="H57" s="69">
        <f>SUM(H48:H56)</f>
        <v>134322386.12709028</v>
      </c>
    </row>
    <row r="58" spans="1:8">
      <c r="A58" s="75"/>
      <c r="B58" s="76" t="s">
        <v>75</v>
      </c>
      <c r="C58" s="33"/>
      <c r="D58" s="58">
        <f>D57+'Oct20'!D58</f>
        <v>124002326</v>
      </c>
      <c r="E58" s="58">
        <f>E57+'Oct20'!E58</f>
        <v>980294434</v>
      </c>
      <c r="F58" s="58">
        <f>F57+'Oct20'!F58</f>
        <v>452908892.30769235</v>
      </c>
      <c r="G58" s="58">
        <f>G57+'Oct20'!G58</f>
        <v>7260999.9999999991</v>
      </c>
      <c r="H58" s="58">
        <f>H57+'Oct20'!H58</f>
        <v>1564466652.3076921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146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2020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November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99373530</v>
      </c>
      <c r="F84" s="96">
        <f>(+F28+F29+G29)-(F85-F86)</f>
        <v>37963188.127090298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121"/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99373530</v>
      </c>
      <c r="F87" s="96">
        <f>(F84+F85)-F86</f>
        <v>37963188.127090298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37855757.692307688</v>
      </c>
      <c r="G91" s="103">
        <f>G14</f>
        <v>107430.43478260869</v>
      </c>
      <c r="H91" s="104">
        <f>F91+G91</f>
        <v>37963188.127090298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124"/>
  <sheetViews>
    <sheetView zoomScale="85" zoomScaleNormal="85" workbookViewId="0">
      <selection activeCell="E22" sqref="E22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14062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2020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141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4" t="s">
        <v>14</v>
      </c>
      <c r="G11" s="145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46">
        <v>1</v>
      </c>
      <c r="D14" s="35">
        <f>D15+D21+D22</f>
        <v>11413345</v>
      </c>
      <c r="E14" s="120">
        <f>E15+E21+E22</f>
        <v>93897984</v>
      </c>
      <c r="F14" s="35">
        <f>(F16-F17)/0.26</f>
        <v>47915150</v>
      </c>
      <c r="G14" s="36">
        <f>(G16-G17)/0.23</f>
        <v>2222434.7826086953</v>
      </c>
      <c r="H14" s="37">
        <f t="shared" ref="H14:H27" si="0">SUM(D14:G14)</f>
        <v>155448913.78260869</v>
      </c>
    </row>
    <row r="15" spans="1:8" hidden="1" outlineLevel="1">
      <c r="A15" s="23"/>
      <c r="B15" s="38" t="s">
        <v>25</v>
      </c>
      <c r="C15" s="147"/>
      <c r="D15" s="40">
        <v>10924271</v>
      </c>
      <c r="E15" s="41">
        <v>93789844</v>
      </c>
      <c r="F15" s="35"/>
      <c r="G15" s="36"/>
      <c r="H15" s="37"/>
    </row>
    <row r="16" spans="1:8" hidden="1" outlineLevel="1">
      <c r="A16" s="23"/>
      <c r="B16" s="38" t="s">
        <v>132</v>
      </c>
      <c r="C16" s="147"/>
      <c r="D16" s="40"/>
      <c r="E16" s="41"/>
      <c r="F16" s="40">
        <v>12539733</v>
      </c>
      <c r="G16" s="41">
        <v>511160</v>
      </c>
      <c r="H16" s="37"/>
    </row>
    <row r="17" spans="1:8" hidden="1" outlineLevel="1">
      <c r="A17" s="23"/>
      <c r="B17" s="38" t="s">
        <v>133</v>
      </c>
      <c r="C17" s="147"/>
      <c r="D17" s="40"/>
      <c r="E17" s="41"/>
      <c r="F17" s="40">
        <v>81794</v>
      </c>
      <c r="G17" s="41">
        <v>0</v>
      </c>
      <c r="H17" s="37"/>
    </row>
    <row r="18" spans="1:8" collapsed="1">
      <c r="A18" s="42" t="s">
        <v>28</v>
      </c>
      <c r="B18" s="6" t="s">
        <v>29</v>
      </c>
      <c r="C18" s="143">
        <v>2</v>
      </c>
      <c r="D18" s="43"/>
      <c r="E18" s="44"/>
      <c r="F18" s="43">
        <f>F85</f>
        <v>8511457.692307692</v>
      </c>
      <c r="G18" s="44"/>
      <c r="H18" s="37"/>
    </row>
    <row r="19" spans="1:8">
      <c r="A19" s="5" t="s">
        <v>30</v>
      </c>
      <c r="B19" s="45" t="s">
        <v>31</v>
      </c>
      <c r="C19" s="31">
        <v>21</v>
      </c>
      <c r="D19" s="108">
        <v>256602</v>
      </c>
      <c r="E19" s="109">
        <v>2158948</v>
      </c>
      <c r="F19" s="46"/>
      <c r="G19" s="47"/>
      <c r="H19" s="37">
        <f t="shared" si="0"/>
        <v>2415550</v>
      </c>
    </row>
    <row r="20" spans="1:8">
      <c r="A20" s="5" t="s">
        <v>32</v>
      </c>
      <c r="B20" s="10" t="s">
        <v>33</v>
      </c>
      <c r="C20" s="48">
        <v>22</v>
      </c>
      <c r="D20" s="110">
        <v>0</v>
      </c>
      <c r="E20" s="111">
        <v>0</v>
      </c>
      <c r="F20" s="46"/>
      <c r="G20" s="47"/>
      <c r="H20" s="37">
        <f t="shared" si="0"/>
        <v>0</v>
      </c>
    </row>
    <row r="21" spans="1:8">
      <c r="A21" s="5" t="s">
        <v>34</v>
      </c>
      <c r="B21" s="45" t="s">
        <v>35</v>
      </c>
      <c r="C21" s="31">
        <v>23</v>
      </c>
      <c r="D21" s="108">
        <v>55021</v>
      </c>
      <c r="E21" s="109">
        <v>108140</v>
      </c>
      <c r="F21" s="46"/>
      <c r="G21" s="47"/>
      <c r="H21" s="53">
        <f t="shared" si="0"/>
        <v>163161</v>
      </c>
    </row>
    <row r="22" spans="1:8">
      <c r="A22" s="5"/>
      <c r="B22" s="54" t="s">
        <v>36</v>
      </c>
      <c r="C22" s="48">
        <v>24</v>
      </c>
      <c r="D22" s="110">
        <v>434053</v>
      </c>
      <c r="E22" s="111">
        <v>0</v>
      </c>
      <c r="F22" s="46"/>
      <c r="G22" s="47"/>
      <c r="H22" s="37">
        <f t="shared" si="0"/>
        <v>434053</v>
      </c>
    </row>
    <row r="23" spans="1:8">
      <c r="A23" s="5"/>
      <c r="B23" s="55" t="s">
        <v>37</v>
      </c>
      <c r="C23" s="31">
        <v>25</v>
      </c>
      <c r="D23" s="108"/>
      <c r="E23" s="109"/>
      <c r="F23" s="46"/>
      <c r="G23" s="47"/>
      <c r="H23" s="53">
        <f t="shared" si="0"/>
        <v>0</v>
      </c>
    </row>
    <row r="24" spans="1:8">
      <c r="A24" s="5"/>
      <c r="B24" s="55" t="s">
        <v>38</v>
      </c>
      <c r="C24" s="48">
        <v>26</v>
      </c>
      <c r="D24" s="111">
        <v>14597</v>
      </c>
      <c r="E24" s="111"/>
      <c r="F24" s="46"/>
      <c r="G24" s="47"/>
      <c r="H24" s="37">
        <f t="shared" si="0"/>
        <v>14597</v>
      </c>
    </row>
    <row r="25" spans="1:8">
      <c r="A25" s="5"/>
      <c r="B25" s="55" t="s">
        <v>39</v>
      </c>
      <c r="C25" s="48">
        <v>27</v>
      </c>
      <c r="D25" s="58"/>
      <c r="E25" s="59"/>
      <c r="F25" s="58"/>
      <c r="G25" s="59"/>
      <c r="H25" s="37">
        <f t="shared" si="0"/>
        <v>0</v>
      </c>
    </row>
    <row r="26" spans="1:8">
      <c r="A26" s="5"/>
      <c r="B26" s="55" t="s">
        <v>40</v>
      </c>
      <c r="C26" s="48">
        <v>28</v>
      </c>
      <c r="D26" s="60"/>
      <c r="E26" s="59"/>
      <c r="F26" s="58"/>
      <c r="G26" s="33"/>
      <c r="H26" s="37">
        <f t="shared" si="0"/>
        <v>0</v>
      </c>
    </row>
    <row r="27" spans="1:8">
      <c r="A27" s="5"/>
      <c r="B27" s="5" t="s">
        <v>41</v>
      </c>
      <c r="C27" s="48">
        <v>29</v>
      </c>
      <c r="D27" s="58"/>
      <c r="E27" s="59"/>
      <c r="F27" s="58"/>
      <c r="G27" s="59"/>
      <c r="H27" s="37">
        <f t="shared" si="0"/>
        <v>0</v>
      </c>
    </row>
    <row r="28" spans="1:8">
      <c r="A28" s="5"/>
      <c r="B28" s="45" t="s">
        <v>42</v>
      </c>
      <c r="C28" s="31">
        <v>30</v>
      </c>
      <c r="D28" s="53">
        <f>SUM(D19:D23)-D24</f>
        <v>731079</v>
      </c>
      <c r="E28" s="53">
        <f>SUM(E19:E23)-E24</f>
        <v>2267088</v>
      </c>
      <c r="F28" s="53">
        <f>SUM(F19:F23)-F24</f>
        <v>0</v>
      </c>
      <c r="G28" s="53">
        <f>SUM(G19:G23)-G24</f>
        <v>0</v>
      </c>
      <c r="H28" s="50">
        <f>SUM(H19:H23)-H24</f>
        <v>2998167</v>
      </c>
    </row>
    <row r="29" spans="1:8">
      <c r="A29" s="61" t="s">
        <v>43</v>
      </c>
      <c r="B29" s="62"/>
      <c r="C29" s="48">
        <v>40</v>
      </c>
      <c r="D29" s="49">
        <f>D14-D28</f>
        <v>10682266</v>
      </c>
      <c r="E29" s="63">
        <f>E14-E28</f>
        <v>91630896</v>
      </c>
      <c r="F29" s="50">
        <f>F14+F18-F28</f>
        <v>56426607.692307696</v>
      </c>
      <c r="G29" s="49">
        <f>G14-G28</f>
        <v>2222434.7826086953</v>
      </c>
      <c r="H29" s="50">
        <f>H14-H28</f>
        <v>152450746.78260869</v>
      </c>
    </row>
    <row r="30" spans="1:8">
      <c r="A30" s="23" t="s">
        <v>44</v>
      </c>
      <c r="B30" s="45" t="s">
        <v>45</v>
      </c>
      <c r="C30" s="33">
        <v>51</v>
      </c>
      <c r="D30" s="112">
        <v>24188</v>
      </c>
      <c r="E30" s="113">
        <v>15407</v>
      </c>
      <c r="F30" s="64"/>
      <c r="G30" s="65"/>
      <c r="H30" s="37">
        <f t="shared" ref="H30:H39" si="1">SUM(D30:G30)</f>
        <v>39595</v>
      </c>
    </row>
    <row r="31" spans="1:8">
      <c r="A31" s="66" t="s">
        <v>46</v>
      </c>
      <c r="B31" s="10" t="s">
        <v>47</v>
      </c>
      <c r="C31" s="33">
        <v>52</v>
      </c>
      <c r="D31" s="108"/>
      <c r="E31" s="109"/>
      <c r="F31" s="67"/>
      <c r="G31" s="68"/>
      <c r="H31" s="37">
        <f t="shared" si="1"/>
        <v>0</v>
      </c>
    </row>
    <row r="32" spans="1:8">
      <c r="A32" s="5"/>
      <c r="B32" s="45" t="s">
        <v>48</v>
      </c>
      <c r="C32" s="33">
        <v>53</v>
      </c>
      <c r="D32" s="110"/>
      <c r="E32" s="111"/>
      <c r="F32" s="64"/>
      <c r="G32" s="65"/>
      <c r="H32" s="37">
        <f t="shared" si="1"/>
        <v>0</v>
      </c>
    </row>
    <row r="33" spans="1:8">
      <c r="A33" s="5"/>
      <c r="B33" s="10" t="s">
        <v>49</v>
      </c>
      <c r="C33" s="33">
        <v>54</v>
      </c>
      <c r="D33" s="108"/>
      <c r="E33" s="109"/>
      <c r="F33" s="67"/>
      <c r="G33" s="68"/>
      <c r="H33" s="53">
        <f t="shared" si="1"/>
        <v>0</v>
      </c>
    </row>
    <row r="34" spans="1:8">
      <c r="A34" s="5"/>
      <c r="B34" s="45" t="s">
        <v>50</v>
      </c>
      <c r="C34" s="33">
        <v>55</v>
      </c>
      <c r="D34" s="110"/>
      <c r="E34" s="111"/>
      <c r="F34" s="64"/>
      <c r="G34" s="65"/>
      <c r="H34" s="37">
        <f t="shared" si="1"/>
        <v>0</v>
      </c>
    </row>
    <row r="35" spans="1:8">
      <c r="A35" s="5"/>
      <c r="B35" s="45" t="s">
        <v>51</v>
      </c>
      <c r="C35" s="33">
        <v>56</v>
      </c>
      <c r="D35" s="108"/>
      <c r="E35" s="109"/>
      <c r="F35" s="67"/>
      <c r="G35" s="68"/>
      <c r="H35" s="53">
        <f t="shared" si="1"/>
        <v>0</v>
      </c>
    </row>
    <row r="36" spans="1:8">
      <c r="A36" s="5"/>
      <c r="B36" s="10" t="s">
        <v>52</v>
      </c>
      <c r="C36" s="33">
        <v>57</v>
      </c>
      <c r="D36" s="110">
        <v>1656</v>
      </c>
      <c r="E36" s="111">
        <v>0</v>
      </c>
      <c r="F36" s="64"/>
      <c r="G36" s="65"/>
      <c r="H36" s="37">
        <f t="shared" si="1"/>
        <v>1656</v>
      </c>
    </row>
    <row r="37" spans="1:8">
      <c r="A37" s="5"/>
      <c r="B37" s="45" t="s">
        <v>40</v>
      </c>
      <c r="C37" s="33">
        <v>58</v>
      </c>
      <c r="D37" s="56"/>
      <c r="E37" s="57"/>
      <c r="F37" s="56"/>
      <c r="G37" s="57"/>
      <c r="H37" s="53">
        <f t="shared" si="1"/>
        <v>0</v>
      </c>
    </row>
    <row r="38" spans="1:8">
      <c r="A38" s="5"/>
      <c r="B38" s="10" t="s">
        <v>41</v>
      </c>
      <c r="C38" s="33">
        <v>59</v>
      </c>
      <c r="D38" s="49"/>
      <c r="E38" s="50"/>
      <c r="F38" s="49"/>
      <c r="G38" s="50"/>
      <c r="H38" s="37">
        <f t="shared" si="1"/>
        <v>0</v>
      </c>
    </row>
    <row r="39" spans="1:8">
      <c r="A39" s="5"/>
      <c r="B39" s="45" t="s">
        <v>53</v>
      </c>
      <c r="C39" s="33">
        <v>60</v>
      </c>
      <c r="D39" s="56"/>
      <c r="E39" s="57"/>
      <c r="F39" s="56"/>
      <c r="G39" s="57"/>
      <c r="H39" s="53">
        <f t="shared" si="1"/>
        <v>0</v>
      </c>
    </row>
    <row r="40" spans="1:8">
      <c r="A40" s="5"/>
      <c r="B40" s="55" t="s">
        <v>54</v>
      </c>
      <c r="C40" s="33">
        <v>61</v>
      </c>
      <c r="D40" s="49"/>
      <c r="E40" s="50"/>
      <c r="F40" s="49"/>
      <c r="G40" s="50"/>
      <c r="H40" s="37"/>
    </row>
    <row r="41" spans="1:8">
      <c r="A41" s="5"/>
      <c r="B41" s="55" t="s">
        <v>55</v>
      </c>
      <c r="C41" s="33">
        <v>62</v>
      </c>
      <c r="D41" s="56"/>
      <c r="E41" s="57"/>
      <c r="F41" s="56"/>
      <c r="G41" s="57"/>
      <c r="H41" s="53"/>
    </row>
    <row r="42" spans="1:8">
      <c r="A42" s="5"/>
      <c r="B42" s="55" t="s">
        <v>56</v>
      </c>
      <c r="C42" s="33">
        <v>63</v>
      </c>
      <c r="D42" s="49"/>
      <c r="E42" s="50"/>
      <c r="F42" s="49"/>
      <c r="G42" s="50"/>
      <c r="H42" s="37"/>
    </row>
    <row r="43" spans="1:8">
      <c r="A43" s="5"/>
      <c r="B43" s="55" t="s">
        <v>57</v>
      </c>
      <c r="C43" s="33">
        <v>64</v>
      </c>
      <c r="D43" s="56"/>
      <c r="E43" s="57"/>
      <c r="F43" s="56"/>
      <c r="G43" s="57"/>
      <c r="H43" s="53"/>
    </row>
    <row r="44" spans="1:8">
      <c r="A44" s="5"/>
      <c r="B44" s="55" t="s">
        <v>58</v>
      </c>
      <c r="C44" s="33">
        <v>65</v>
      </c>
      <c r="D44" s="49"/>
      <c r="E44" s="50"/>
      <c r="F44" s="49"/>
      <c r="G44" s="50"/>
      <c r="H44" s="37"/>
    </row>
    <row r="45" spans="1:8">
      <c r="A45" s="5"/>
      <c r="B45" s="55" t="s">
        <v>59</v>
      </c>
      <c r="C45" s="33">
        <v>66</v>
      </c>
      <c r="D45" s="58"/>
      <c r="E45" s="59"/>
      <c r="F45" s="58"/>
      <c r="G45" s="59"/>
      <c r="H45" s="69"/>
    </row>
    <row r="46" spans="1:8">
      <c r="A46" s="5"/>
      <c r="B46" s="55" t="s">
        <v>60</v>
      </c>
      <c r="C46" s="33">
        <v>67</v>
      </c>
      <c r="D46" s="56"/>
      <c r="E46" s="57"/>
      <c r="F46" s="56"/>
      <c r="G46" s="57"/>
      <c r="H46" s="53"/>
    </row>
    <row r="47" spans="1:8">
      <c r="A47" s="55"/>
      <c r="B47" s="45" t="s">
        <v>124</v>
      </c>
      <c r="C47" s="48">
        <v>70</v>
      </c>
      <c r="D47" s="49">
        <f>SUM(D30:D41)</f>
        <v>25844</v>
      </c>
      <c r="E47" s="50">
        <f>SUM(E30:E41)</f>
        <v>15407</v>
      </c>
      <c r="F47" s="49">
        <f>SUM(F30:F41)</f>
        <v>0</v>
      </c>
      <c r="G47" s="50">
        <f>SUM(G30:G41)</f>
        <v>0</v>
      </c>
      <c r="H47" s="37">
        <f>SUM(H30:H41)</f>
        <v>41251</v>
      </c>
    </row>
    <row r="48" spans="1:8">
      <c r="A48" s="5" t="s">
        <v>61</v>
      </c>
      <c r="B48" s="45" t="s">
        <v>62</v>
      </c>
      <c r="C48" s="48">
        <v>81</v>
      </c>
      <c r="D48" s="49">
        <f>D29-D47</f>
        <v>10656422</v>
      </c>
      <c r="E48" s="50">
        <f>E29-E47</f>
        <v>91615489</v>
      </c>
      <c r="F48" s="49">
        <f>F29-F47</f>
        <v>56426607.692307696</v>
      </c>
      <c r="G48" s="50">
        <f>G29-G47</f>
        <v>2222434.7826086953</v>
      </c>
      <c r="H48" s="37">
        <f>SUM(D48:G48)</f>
        <v>160920953.4749164</v>
      </c>
    </row>
    <row r="49" spans="1:8">
      <c r="A49" s="66" t="s">
        <v>28</v>
      </c>
      <c r="B49" s="54" t="s">
        <v>134</v>
      </c>
      <c r="C49" s="33">
        <v>82</v>
      </c>
      <c r="D49" s="58"/>
      <c r="E49" s="59"/>
      <c r="F49" s="70"/>
      <c r="G49" s="71"/>
      <c r="H49" s="37"/>
    </row>
    <row r="50" spans="1:8">
      <c r="A50" s="66" t="s">
        <v>63</v>
      </c>
      <c r="B50" s="54" t="s">
        <v>64</v>
      </c>
      <c r="C50" s="33">
        <v>83</v>
      </c>
      <c r="D50" s="56"/>
      <c r="E50" s="57"/>
      <c r="F50" s="56"/>
      <c r="G50" s="57"/>
      <c r="H50" s="37"/>
    </row>
    <row r="51" spans="1:8">
      <c r="A51" s="72" t="s">
        <v>65</v>
      </c>
      <c r="B51" s="54" t="s">
        <v>66</v>
      </c>
      <c r="C51" s="33">
        <v>84</v>
      </c>
      <c r="D51" s="49"/>
      <c r="E51" s="50"/>
      <c r="F51" s="49"/>
      <c r="G51" s="50"/>
      <c r="H51" s="37"/>
    </row>
    <row r="52" spans="1:8">
      <c r="A52" s="72" t="s">
        <v>67</v>
      </c>
      <c r="B52" s="54" t="s">
        <v>68</v>
      </c>
      <c r="C52" s="33">
        <v>85</v>
      </c>
      <c r="D52" s="56"/>
      <c r="E52" s="57"/>
      <c r="F52" s="56"/>
      <c r="G52" s="57"/>
      <c r="H52" s="37"/>
    </row>
    <row r="53" spans="1:8">
      <c r="A53" s="72" t="s">
        <v>69</v>
      </c>
      <c r="B53" s="54" t="s">
        <v>70</v>
      </c>
      <c r="C53" s="33">
        <v>86</v>
      </c>
      <c r="D53" s="49"/>
      <c r="E53" s="50"/>
      <c r="F53" s="49"/>
      <c r="G53" s="50"/>
      <c r="H53" s="37"/>
    </row>
    <row r="54" spans="1:8">
      <c r="A54" s="72" t="s">
        <v>71</v>
      </c>
      <c r="B54" s="54" t="s">
        <v>39</v>
      </c>
      <c r="C54" s="33">
        <v>87</v>
      </c>
      <c r="D54" s="56"/>
      <c r="E54" s="57"/>
      <c r="F54" s="56"/>
      <c r="G54" s="57"/>
      <c r="H54" s="37"/>
    </row>
    <row r="55" spans="1:8">
      <c r="A55" s="72" t="s">
        <v>72</v>
      </c>
      <c r="B55" s="55" t="s">
        <v>40</v>
      </c>
      <c r="C55" s="33">
        <v>88</v>
      </c>
      <c r="D55" s="49"/>
      <c r="E55" s="50"/>
      <c r="F55" s="49"/>
      <c r="G55" s="50"/>
      <c r="H55" s="37"/>
    </row>
    <row r="56" spans="1:8">
      <c r="A56" s="73" t="s">
        <v>73</v>
      </c>
      <c r="B56" s="10" t="s">
        <v>41</v>
      </c>
      <c r="C56" s="33">
        <v>89</v>
      </c>
      <c r="D56" s="58"/>
      <c r="E56" s="59"/>
      <c r="F56" s="58"/>
      <c r="G56" s="59"/>
      <c r="H56" s="37"/>
    </row>
    <row r="57" spans="1:8">
      <c r="A57" s="74"/>
      <c r="B57" s="45" t="s">
        <v>74</v>
      </c>
      <c r="C57" s="33">
        <v>90</v>
      </c>
      <c r="D57" s="58">
        <f>SUM(D48:D56)</f>
        <v>10656422</v>
      </c>
      <c r="E57" s="59">
        <f>SUM(E48:E56)</f>
        <v>91615489</v>
      </c>
      <c r="F57" s="58">
        <f>SUM(F48:F56)</f>
        <v>56426607.692307696</v>
      </c>
      <c r="G57" s="59">
        <f>SUM(G48:G56)</f>
        <v>2222434.7826086953</v>
      </c>
      <c r="H57" s="69">
        <f>SUM(H48:H56)</f>
        <v>160920953.4749164</v>
      </c>
    </row>
    <row r="58" spans="1:8">
      <c r="A58" s="75"/>
      <c r="B58" s="76" t="s">
        <v>75</v>
      </c>
      <c r="C58" s="33"/>
      <c r="D58" s="58">
        <f>D57+'Nov20'!D58</f>
        <v>134658748</v>
      </c>
      <c r="E58" s="58">
        <f>E57+'Nov20'!E58</f>
        <v>1071909923</v>
      </c>
      <c r="F58" s="58">
        <f>F57+'Nov20'!F58</f>
        <v>509335500.00000006</v>
      </c>
      <c r="G58" s="58">
        <f>G57+'Nov20'!G58</f>
        <v>9483434.7826086953</v>
      </c>
      <c r="H58" s="58">
        <f>H57+'Nov20'!H58</f>
        <v>1725387605.7826085</v>
      </c>
    </row>
    <row r="59" spans="1:8">
      <c r="A59" s="77" t="s">
        <v>76</v>
      </c>
      <c r="B59" s="26" t="s">
        <v>77</v>
      </c>
      <c r="C59" s="17"/>
      <c r="D59" s="56"/>
      <c r="E59" s="56"/>
      <c r="F59" s="56"/>
      <c r="G59" s="56"/>
      <c r="H59" s="53"/>
    </row>
    <row r="60" spans="1:8">
      <c r="A60" s="5"/>
      <c r="B60" s="78" t="s">
        <v>146</v>
      </c>
      <c r="C60" s="17"/>
      <c r="D60" s="56"/>
      <c r="E60" s="56"/>
      <c r="F60" s="56"/>
      <c r="G60" s="56"/>
      <c r="H60" s="53"/>
    </row>
    <row r="61" spans="1:8">
      <c r="A61" s="5"/>
      <c r="B61" s="26" t="s">
        <v>78</v>
      </c>
      <c r="C61" s="27"/>
      <c r="D61" s="27"/>
      <c r="E61" s="27"/>
      <c r="F61" s="27"/>
      <c r="G61" s="107" t="s">
        <v>79</v>
      </c>
      <c r="H61" s="80"/>
    </row>
    <row r="62" spans="1:8">
      <c r="A62" s="55"/>
      <c r="B62" s="32" t="s">
        <v>145</v>
      </c>
      <c r="C62" s="3"/>
      <c r="D62" s="3"/>
      <c r="E62" s="3"/>
      <c r="F62" s="3"/>
      <c r="G62" s="54"/>
      <c r="H62" s="81"/>
    </row>
    <row r="63" spans="1:8">
      <c r="A63" s="6"/>
      <c r="B63" s="82"/>
      <c r="C63" s="8"/>
      <c r="D63" s="8"/>
      <c r="E63" s="17" t="s">
        <v>80</v>
      </c>
      <c r="F63" s="8"/>
      <c r="G63" s="8"/>
      <c r="H63" s="24" t="s">
        <v>81</v>
      </c>
    </row>
    <row r="64" spans="1:8">
      <c r="A64" s="6"/>
      <c r="B64" s="6"/>
      <c r="C64" s="8"/>
      <c r="D64" s="8"/>
      <c r="E64" s="17">
        <v>1</v>
      </c>
      <c r="F64" s="8"/>
      <c r="G64" s="8"/>
      <c r="H64" s="6"/>
    </row>
    <row r="65" spans="1:8">
      <c r="A65" s="6"/>
      <c r="B65" s="8"/>
      <c r="C65" s="8"/>
      <c r="D65" s="8"/>
      <c r="E65" s="6"/>
      <c r="F65" s="8"/>
      <c r="G65" s="8"/>
      <c r="H65" s="8"/>
    </row>
    <row r="66" spans="1:8">
      <c r="A66" s="6"/>
      <c r="B66" s="83"/>
      <c r="C66" s="6"/>
      <c r="D66" s="8"/>
      <c r="E66" s="8"/>
      <c r="F66" s="8"/>
      <c r="G66" s="8"/>
      <c r="H66" s="8"/>
    </row>
    <row r="67" spans="1:8">
      <c r="A67" s="77"/>
      <c r="B67" s="84"/>
      <c r="C67" s="85"/>
      <c r="D67" s="27"/>
      <c r="E67" s="27"/>
      <c r="F67" s="85"/>
      <c r="G67" s="85"/>
      <c r="H67" s="86" t="str">
        <f t="shared" ref="H67:H72" si="2">H2</f>
        <v>STATE</v>
      </c>
    </row>
    <row r="68" spans="1:8">
      <c r="A68" s="5"/>
      <c r="B68" s="82"/>
      <c r="C68" s="8"/>
      <c r="D68" s="7"/>
      <c r="E68" s="8"/>
      <c r="F68" s="8"/>
      <c r="G68" s="8"/>
      <c r="H68" s="87" t="str">
        <f t="shared" si="2"/>
        <v>Kansas</v>
      </c>
    </row>
    <row r="69" spans="1:8">
      <c r="A69" s="5"/>
      <c r="B69" s="82"/>
      <c r="C69" s="8"/>
      <c r="D69" s="7" t="s">
        <v>82</v>
      </c>
      <c r="E69" s="6"/>
      <c r="F69" s="8"/>
      <c r="G69" s="8"/>
      <c r="H69" s="86" t="str">
        <f t="shared" si="2"/>
        <v>YEAR</v>
      </c>
    </row>
    <row r="70" spans="1:8">
      <c r="A70" s="5"/>
      <c r="B70" s="82"/>
      <c r="C70" s="8"/>
      <c r="D70" s="6"/>
      <c r="E70" s="8"/>
      <c r="F70" s="8"/>
      <c r="G70" s="8"/>
      <c r="H70" s="86">
        <f t="shared" si="2"/>
        <v>2020</v>
      </c>
    </row>
    <row r="71" spans="1:8">
      <c r="A71" s="5"/>
      <c r="B71" s="82"/>
      <c r="C71" s="88"/>
      <c r="D71" s="88"/>
      <c r="E71" s="82"/>
      <c r="F71" s="88"/>
      <c r="G71" s="88"/>
      <c r="H71" s="86" t="str">
        <f t="shared" si="2"/>
        <v>MONTH OF SALE</v>
      </c>
    </row>
    <row r="72" spans="1:8">
      <c r="A72" s="55"/>
      <c r="B72" s="1"/>
      <c r="C72" s="89"/>
      <c r="D72" s="89"/>
      <c r="E72" s="89"/>
      <c r="F72" s="89"/>
      <c r="G72" s="89"/>
      <c r="H72" s="90" t="str">
        <f t="shared" si="2"/>
        <v>December</v>
      </c>
    </row>
    <row r="73" spans="1:8">
      <c r="A73" s="10" t="s">
        <v>83</v>
      </c>
      <c r="B73" s="6"/>
      <c r="C73" s="88"/>
      <c r="D73" s="91" t="s">
        <v>84</v>
      </c>
      <c r="E73" s="91"/>
      <c r="F73" s="91"/>
      <c r="G73" s="91"/>
      <c r="H73" s="92"/>
    </row>
    <row r="74" spans="1:8">
      <c r="A74" s="5"/>
      <c r="B74" s="6"/>
      <c r="C74" s="6"/>
      <c r="D74" s="8"/>
      <c r="E74" s="17" t="s">
        <v>85</v>
      </c>
      <c r="F74" s="82" t="s">
        <v>86</v>
      </c>
      <c r="G74" s="8"/>
      <c r="H74" s="79"/>
    </row>
    <row r="75" spans="1:8">
      <c r="A75" s="5"/>
      <c r="B75" s="6"/>
      <c r="C75" s="93" t="s">
        <v>87</v>
      </c>
      <c r="D75" s="82"/>
      <c r="E75" s="8" t="s">
        <v>88</v>
      </c>
      <c r="F75" s="94">
        <v>37803</v>
      </c>
      <c r="G75" s="8"/>
      <c r="H75" s="79"/>
    </row>
    <row r="76" spans="1:8">
      <c r="A76" s="5"/>
      <c r="B76" s="6"/>
      <c r="C76" s="93" t="s">
        <v>89</v>
      </c>
      <c r="D76" s="82"/>
      <c r="E76" s="8" t="s">
        <v>88</v>
      </c>
      <c r="F76" s="94">
        <v>37803</v>
      </c>
      <c r="G76" s="8"/>
      <c r="H76" s="79"/>
    </row>
    <row r="77" spans="1:8">
      <c r="A77" s="5"/>
      <c r="B77" s="6"/>
      <c r="C77" s="93" t="s">
        <v>90</v>
      </c>
      <c r="D77" s="82"/>
      <c r="E77" s="8" t="s">
        <v>91</v>
      </c>
      <c r="F77" s="94">
        <v>39083</v>
      </c>
      <c r="G77" s="8"/>
      <c r="H77" s="79"/>
    </row>
    <row r="78" spans="1:8">
      <c r="A78" s="5"/>
      <c r="B78" s="6"/>
      <c r="C78" s="93" t="s">
        <v>92</v>
      </c>
      <c r="D78" s="82"/>
      <c r="E78" s="8" t="s">
        <v>93</v>
      </c>
      <c r="F78" s="94">
        <v>37803</v>
      </c>
      <c r="G78" s="8"/>
      <c r="H78" s="79"/>
    </row>
    <row r="79" spans="1:8">
      <c r="A79" s="5"/>
      <c r="B79" s="6"/>
      <c r="C79" s="93" t="s">
        <v>94</v>
      </c>
      <c r="D79" s="82"/>
      <c r="E79" s="8" t="s">
        <v>95</v>
      </c>
      <c r="F79" s="94">
        <v>37803</v>
      </c>
      <c r="G79" s="8"/>
      <c r="H79" s="79"/>
    </row>
    <row r="80" spans="1:8">
      <c r="A80" s="5"/>
      <c r="B80" s="6"/>
      <c r="C80" s="93" t="s">
        <v>96</v>
      </c>
      <c r="D80" s="82"/>
      <c r="E80" s="8" t="s">
        <v>95</v>
      </c>
      <c r="F80" s="94">
        <v>37803</v>
      </c>
      <c r="G80" s="8"/>
      <c r="H80" s="79"/>
    </row>
    <row r="81" spans="1:8">
      <c r="A81" s="55"/>
      <c r="B81" s="2" t="s">
        <v>97</v>
      </c>
      <c r="C81" s="3"/>
      <c r="D81" s="3"/>
      <c r="E81" s="3"/>
      <c r="F81" s="3"/>
      <c r="G81" s="3"/>
      <c r="H81" s="81"/>
    </row>
    <row r="82" spans="1:8">
      <c r="A82" s="5" t="s">
        <v>98</v>
      </c>
      <c r="B82" s="6"/>
      <c r="C82" s="8"/>
      <c r="D82" s="8"/>
      <c r="E82" s="8"/>
      <c r="F82" s="17" t="s">
        <v>99</v>
      </c>
      <c r="G82" s="8"/>
      <c r="H82" s="79"/>
    </row>
    <row r="83" spans="1:8" s="119" customFormat="1" ht="26.25">
      <c r="A83" s="114"/>
      <c r="B83" s="115"/>
      <c r="C83" s="116"/>
      <c r="D83" s="116"/>
      <c r="E83" s="117" t="s">
        <v>125</v>
      </c>
      <c r="F83" s="117" t="s">
        <v>100</v>
      </c>
      <c r="G83" s="116"/>
      <c r="H83" s="118"/>
    </row>
    <row r="84" spans="1:8">
      <c r="A84" s="5"/>
      <c r="B84" s="6" t="s">
        <v>101</v>
      </c>
      <c r="C84" s="8"/>
      <c r="D84" s="8"/>
      <c r="E84" s="95">
        <f>D14+E14</f>
        <v>105311329</v>
      </c>
      <c r="F84" s="96">
        <f>(+F28+F29+G29)-(F85-F86)</f>
        <v>50137584.782608703</v>
      </c>
      <c r="G84" s="8"/>
      <c r="H84" s="97"/>
    </row>
    <row r="85" spans="1:8">
      <c r="A85" s="5"/>
      <c r="B85" s="6" t="s">
        <v>102</v>
      </c>
      <c r="C85" s="8"/>
      <c r="D85" s="8"/>
      <c r="E85" s="95"/>
      <c r="F85" s="121">
        <f>2212979/0.26</f>
        <v>8511457.692307692</v>
      </c>
      <c r="G85" s="8"/>
      <c r="H85" s="98"/>
    </row>
    <row r="86" spans="1:8">
      <c r="A86" s="5"/>
      <c r="B86" s="6" t="s">
        <v>103</v>
      </c>
      <c r="C86" s="8"/>
      <c r="D86" s="8"/>
      <c r="E86" s="95"/>
      <c r="F86" s="96"/>
      <c r="G86" s="8"/>
      <c r="H86" s="99"/>
    </row>
    <row r="87" spans="1:8">
      <c r="A87" s="5"/>
      <c r="B87" s="6" t="str">
        <f>"= Gross consumption in State (enter on page 1, item 1)"</f>
        <v>= Gross consumption in State (enter on page 1, item 1)</v>
      </c>
      <c r="C87" s="8"/>
      <c r="D87" s="8"/>
      <c r="E87" s="95">
        <f>(E84+E85)-E86</f>
        <v>105311329</v>
      </c>
      <c r="F87" s="96">
        <f>(F84+F85)-F86</f>
        <v>58649042.474916399</v>
      </c>
      <c r="G87" s="8"/>
      <c r="H87" s="98"/>
    </row>
    <row r="88" spans="1:8">
      <c r="A88" s="5"/>
      <c r="B88" s="6"/>
      <c r="C88" s="8"/>
      <c r="D88" s="8"/>
      <c r="E88" s="8"/>
      <c r="F88" s="8"/>
      <c r="G88" s="8"/>
      <c r="H88" s="79"/>
    </row>
    <row r="89" spans="1:8">
      <c r="A89" s="5"/>
      <c r="B89" s="6"/>
      <c r="C89" s="8"/>
      <c r="D89" s="8"/>
      <c r="E89" s="100" t="s">
        <v>104</v>
      </c>
      <c r="F89" s="8"/>
      <c r="G89" s="8"/>
      <c r="H89" s="79"/>
    </row>
    <row r="90" spans="1:8">
      <c r="A90" s="5"/>
      <c r="B90" s="6"/>
      <c r="C90" s="8"/>
      <c r="D90" s="8"/>
      <c r="E90" s="8"/>
      <c r="F90" s="101" t="s">
        <v>105</v>
      </c>
      <c r="G90" s="101" t="s">
        <v>106</v>
      </c>
      <c r="H90" s="102" t="s">
        <v>107</v>
      </c>
    </row>
    <row r="91" spans="1:8">
      <c r="A91" s="55"/>
      <c r="B91" s="2"/>
      <c r="C91" s="3"/>
      <c r="D91" s="3"/>
      <c r="E91" s="4" t="s">
        <v>108</v>
      </c>
      <c r="F91" s="103">
        <f>F14</f>
        <v>47915150</v>
      </c>
      <c r="G91" s="103">
        <f>G14</f>
        <v>2222434.7826086953</v>
      </c>
      <c r="H91" s="104">
        <f>F91+G91</f>
        <v>50137584.782608695</v>
      </c>
    </row>
    <row r="92" spans="1:8">
      <c r="A92" s="5" t="s">
        <v>109</v>
      </c>
      <c r="B92" s="6"/>
      <c r="C92" s="8"/>
      <c r="D92" s="8"/>
      <c r="E92" s="8"/>
      <c r="F92" s="8"/>
      <c r="G92" s="8"/>
      <c r="H92" s="79"/>
    </row>
    <row r="93" spans="1:8">
      <c r="A93" s="5"/>
      <c r="B93" s="6"/>
      <c r="C93" s="8"/>
      <c r="D93" s="8"/>
      <c r="E93" s="8"/>
      <c r="F93" s="8"/>
      <c r="G93" s="8"/>
      <c r="H93" s="79"/>
    </row>
    <row r="94" spans="1:8">
      <c r="A94" s="5"/>
      <c r="B94" s="6" t="s">
        <v>110</v>
      </c>
      <c r="C94" s="8"/>
      <c r="D94" s="8"/>
      <c r="E94" s="105" t="s">
        <v>111</v>
      </c>
      <c r="F94" s="8"/>
      <c r="G94" s="8"/>
      <c r="H94" s="79"/>
    </row>
    <row r="95" spans="1:8">
      <c r="A95" s="5"/>
      <c r="B95" s="6"/>
      <c r="C95" s="8"/>
      <c r="D95" s="8"/>
      <c r="E95" s="8"/>
      <c r="F95" s="8"/>
      <c r="G95" s="8"/>
      <c r="H95" s="79"/>
    </row>
    <row r="96" spans="1:8">
      <c r="A96" s="5"/>
      <c r="B96" s="6"/>
      <c r="C96" s="8" t="s">
        <v>112</v>
      </c>
      <c r="D96" s="6"/>
      <c r="E96" s="17" t="s">
        <v>28</v>
      </c>
      <c r="F96" s="10" t="s">
        <v>113</v>
      </c>
      <c r="G96" s="8"/>
      <c r="H96" s="79"/>
    </row>
    <row r="97" spans="1:8">
      <c r="A97" s="5"/>
      <c r="B97" s="6"/>
      <c r="C97" s="8"/>
      <c r="D97" s="6" t="s">
        <v>114</v>
      </c>
      <c r="E97" s="3"/>
      <c r="F97" s="54"/>
      <c r="G97" s="8"/>
      <c r="H97" s="79"/>
    </row>
    <row r="98" spans="1:8">
      <c r="A98" s="5"/>
      <c r="B98" s="6"/>
      <c r="C98" s="8"/>
      <c r="D98" s="8" t="s">
        <v>115</v>
      </c>
      <c r="E98" s="3"/>
      <c r="F98" s="54"/>
      <c r="G98" s="8"/>
      <c r="H98" s="79"/>
    </row>
    <row r="99" spans="1:8">
      <c r="A99" s="5"/>
      <c r="B99" s="6"/>
      <c r="C99" s="8"/>
      <c r="D99" s="8" t="s">
        <v>116</v>
      </c>
      <c r="E99" s="95"/>
      <c r="F99" s="106">
        <v>1</v>
      </c>
      <c r="G99" s="8"/>
      <c r="H99" s="79"/>
    </row>
    <row r="100" spans="1:8">
      <c r="A100" s="55"/>
      <c r="B100" s="2"/>
      <c r="C100" s="3"/>
      <c r="D100" s="3"/>
      <c r="E100" s="3"/>
      <c r="F100" s="54"/>
      <c r="G100" s="3"/>
      <c r="H100" s="81"/>
    </row>
    <row r="101" spans="1:8">
      <c r="A101" s="5" t="s">
        <v>117</v>
      </c>
      <c r="B101" s="8"/>
      <c r="C101" s="8"/>
      <c r="D101" s="8"/>
      <c r="E101" s="8"/>
      <c r="F101" s="8"/>
      <c r="G101" s="8"/>
      <c r="H101" s="79"/>
    </row>
    <row r="102" spans="1:8">
      <c r="A102" s="5"/>
      <c r="B102" s="8"/>
      <c r="C102" s="8"/>
      <c r="D102" s="8"/>
      <c r="E102" s="8"/>
      <c r="F102" s="8"/>
      <c r="G102" s="8"/>
      <c r="H102" s="79"/>
    </row>
    <row r="103" spans="1:8">
      <c r="A103" s="19"/>
      <c r="B103" s="6"/>
      <c r="C103" s="7"/>
      <c r="D103" s="8"/>
      <c r="E103" s="8"/>
      <c r="F103" s="8"/>
      <c r="G103" s="8"/>
      <c r="H103" s="79"/>
    </row>
    <row r="104" spans="1:8">
      <c r="A104" s="5" t="s">
        <v>118</v>
      </c>
      <c r="B104" s="6"/>
      <c r="C104" s="8"/>
      <c r="D104" s="8"/>
      <c r="E104" s="8"/>
      <c r="F104" s="8"/>
      <c r="G104" s="8"/>
      <c r="H104" s="79"/>
    </row>
    <row r="105" spans="1:8">
      <c r="A105" s="5" t="s">
        <v>119</v>
      </c>
      <c r="B105" s="8"/>
      <c r="C105" s="8"/>
      <c r="D105" s="8"/>
      <c r="E105" s="8"/>
      <c r="F105" s="8"/>
      <c r="G105" s="8"/>
      <c r="H105" s="79"/>
    </row>
    <row r="106" spans="1:8">
      <c r="A106" s="5" t="s">
        <v>120</v>
      </c>
      <c r="B106" s="6"/>
      <c r="C106" s="8"/>
      <c r="D106" s="8"/>
      <c r="E106" s="8"/>
      <c r="F106" s="8"/>
      <c r="G106" s="8"/>
      <c r="H106" s="79"/>
    </row>
    <row r="107" spans="1:8">
      <c r="A107" s="10" t="s">
        <v>123</v>
      </c>
      <c r="B107" s="6"/>
      <c r="C107" s="8"/>
      <c r="D107" s="8"/>
      <c r="E107" s="8"/>
      <c r="F107" s="8"/>
      <c r="G107" s="8"/>
      <c r="H107" s="79"/>
    </row>
    <row r="108" spans="1:8">
      <c r="A108" s="5"/>
      <c r="B108" s="8"/>
      <c r="C108" s="8"/>
      <c r="D108" s="8"/>
      <c r="E108" s="8"/>
      <c r="F108" s="8"/>
      <c r="G108" s="8"/>
      <c r="H108" s="79"/>
    </row>
    <row r="109" spans="1:8">
      <c r="A109" s="5"/>
      <c r="B109" s="8"/>
      <c r="C109" s="8"/>
      <c r="D109" s="8"/>
      <c r="E109" s="8"/>
      <c r="F109" s="8"/>
      <c r="G109" s="8"/>
      <c r="H109" s="79"/>
    </row>
    <row r="110" spans="1:8">
      <c r="A110" s="5"/>
      <c r="B110" s="6"/>
      <c r="C110" s="8"/>
      <c r="D110" s="8"/>
      <c r="E110" s="8"/>
      <c r="F110" s="8"/>
      <c r="G110" s="8"/>
      <c r="H110" s="79"/>
    </row>
    <row r="111" spans="1:8">
      <c r="A111" s="5"/>
      <c r="B111" s="8"/>
      <c r="C111" s="8"/>
      <c r="D111" s="8"/>
      <c r="E111" s="8"/>
      <c r="F111" s="8"/>
      <c r="G111" s="8"/>
      <c r="H111" s="79"/>
    </row>
    <row r="112" spans="1:8">
      <c r="A112" s="5"/>
      <c r="B112" s="8"/>
      <c r="C112" s="8"/>
      <c r="D112" s="8"/>
      <c r="E112" s="8"/>
      <c r="F112" s="8"/>
      <c r="G112" s="8"/>
      <c r="H112" s="79"/>
    </row>
    <row r="113" spans="1:8">
      <c r="A113" s="5"/>
      <c r="B113" s="6"/>
      <c r="C113" s="8"/>
      <c r="D113" s="8"/>
      <c r="E113" s="8"/>
      <c r="F113" s="8"/>
      <c r="G113" s="8"/>
      <c r="H113" s="79"/>
    </row>
    <row r="114" spans="1:8">
      <c r="A114" s="5"/>
      <c r="B114" s="6"/>
      <c r="C114" s="8"/>
      <c r="D114" s="8"/>
      <c r="E114" s="8"/>
      <c r="F114" s="8"/>
      <c r="G114" s="8"/>
      <c r="H114" s="79"/>
    </row>
    <row r="115" spans="1:8">
      <c r="A115" s="5"/>
      <c r="B115" s="6"/>
      <c r="C115" s="8"/>
      <c r="D115" s="8"/>
      <c r="E115" s="8"/>
      <c r="F115" s="8"/>
      <c r="G115" s="8"/>
      <c r="H115" s="79"/>
    </row>
    <row r="116" spans="1:8">
      <c r="A116" s="5"/>
      <c r="B116" s="6"/>
      <c r="C116" s="8"/>
      <c r="D116" s="8"/>
      <c r="E116" s="8"/>
      <c r="F116" s="8"/>
      <c r="G116" s="8"/>
      <c r="H116" s="79"/>
    </row>
    <row r="117" spans="1:8">
      <c r="A117" s="5"/>
      <c r="B117" s="6"/>
      <c r="C117" s="8"/>
      <c r="D117" s="8"/>
      <c r="E117" s="8"/>
      <c r="F117" s="8"/>
      <c r="G117" s="8"/>
      <c r="H117" s="79"/>
    </row>
    <row r="118" spans="1:8">
      <c r="A118" s="5"/>
      <c r="B118" s="82"/>
      <c r="C118" s="8"/>
      <c r="D118" s="8"/>
      <c r="E118" s="8"/>
      <c r="F118" s="8"/>
      <c r="G118" s="8"/>
      <c r="H118" s="79"/>
    </row>
    <row r="119" spans="1:8">
      <c r="A119" s="5"/>
      <c r="B119" s="82"/>
      <c r="C119" s="8"/>
      <c r="D119" s="8"/>
      <c r="E119" s="8"/>
      <c r="F119" s="8"/>
      <c r="G119" s="8"/>
      <c r="H119" s="79"/>
    </row>
    <row r="120" spans="1:8">
      <c r="A120" s="5"/>
      <c r="B120" s="82"/>
      <c r="C120" s="8"/>
      <c r="D120" s="8"/>
      <c r="E120" s="8"/>
      <c r="F120" s="8"/>
      <c r="G120" s="8"/>
      <c r="H120" s="79"/>
    </row>
    <row r="121" spans="1:8">
      <c r="A121" s="5"/>
      <c r="B121" s="82"/>
      <c r="C121" s="8"/>
      <c r="D121" s="8"/>
      <c r="E121" s="8"/>
      <c r="F121" s="8"/>
      <c r="G121" s="8"/>
      <c r="H121" s="79"/>
    </row>
    <row r="122" spans="1:8">
      <c r="A122" s="5"/>
      <c r="B122" s="82"/>
      <c r="C122" s="8"/>
      <c r="D122" s="8"/>
      <c r="E122" s="8"/>
      <c r="F122" s="8"/>
      <c r="G122" s="8"/>
      <c r="H122" s="79"/>
    </row>
    <row r="123" spans="1:8">
      <c r="A123" s="55"/>
      <c r="B123" s="1"/>
      <c r="C123" s="3"/>
      <c r="D123" s="3"/>
      <c r="E123" s="3"/>
      <c r="F123" s="3"/>
      <c r="G123" s="3"/>
      <c r="H123" s="81"/>
    </row>
    <row r="124" spans="1:8">
      <c r="A124" s="82" t="s">
        <v>121</v>
      </c>
      <c r="B124" s="6"/>
      <c r="C124" s="8"/>
      <c r="D124" s="8"/>
      <c r="E124" s="17">
        <v>2</v>
      </c>
      <c r="F124" s="8"/>
      <c r="G124" s="8"/>
      <c r="H124" s="24"/>
    </row>
  </sheetData>
  <mergeCells count="2">
    <mergeCell ref="F11:G11"/>
    <mergeCell ref="C14:C17"/>
  </mergeCells>
  <pageMargins left="0.7" right="0.7" top="0.75" bottom="0.75" header="0.3" footer="0.3"/>
  <pageSetup scale="75" fitToHeight="0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2"/>
  <sheetViews>
    <sheetView topLeftCell="A40" workbookViewId="0">
      <selection activeCell="G64" sqref="G64"/>
    </sheetView>
  </sheetViews>
  <sheetFormatPr defaultRowHeight="15" outlineLevelRow="1"/>
  <cols>
    <col min="1" max="1" width="9.7109375" customWidth="1"/>
    <col min="2" max="2" width="35.7109375" customWidth="1"/>
    <col min="3" max="3" width="3.7109375" customWidth="1"/>
    <col min="4" max="4" width="14.7109375" customWidth="1"/>
    <col min="5" max="5" width="13.7109375" customWidth="1"/>
    <col min="6" max="6" width="14.7109375" customWidth="1"/>
    <col min="7" max="7" width="11.7109375" customWidth="1"/>
    <col min="8" max="8" width="16.7109375" customWidth="1"/>
  </cols>
  <sheetData>
    <row r="1" spans="1:8">
      <c r="A1" s="1" t="s">
        <v>0</v>
      </c>
      <c r="B1" s="2"/>
      <c r="C1" s="3"/>
      <c r="D1" s="3"/>
      <c r="E1" s="3"/>
      <c r="F1" s="3"/>
      <c r="G1" s="2"/>
      <c r="H1" s="4" t="s">
        <v>1</v>
      </c>
    </row>
    <row r="2" spans="1:8">
      <c r="A2" s="5"/>
      <c r="B2" s="6"/>
      <c r="C2" s="7"/>
      <c r="D2" s="8"/>
      <c r="E2" s="8"/>
      <c r="F2" s="8"/>
      <c r="G2" s="6"/>
      <c r="H2" s="9" t="s">
        <v>2</v>
      </c>
    </row>
    <row r="3" spans="1:8">
      <c r="A3" s="10" t="s">
        <v>3</v>
      </c>
      <c r="B3" s="6"/>
      <c r="C3" s="7"/>
      <c r="D3" s="8"/>
      <c r="E3" s="8"/>
      <c r="F3" s="6"/>
      <c r="G3" s="11"/>
      <c r="H3" s="12" t="s">
        <v>4</v>
      </c>
    </row>
    <row r="4" spans="1:8">
      <c r="A4" s="5" t="s">
        <v>5</v>
      </c>
      <c r="B4" s="6"/>
      <c r="C4" s="7"/>
      <c r="D4" s="6"/>
      <c r="E4" s="6"/>
      <c r="F4" s="8"/>
      <c r="G4" s="11"/>
      <c r="H4" s="13" t="s">
        <v>6</v>
      </c>
    </row>
    <row r="5" spans="1:8">
      <c r="A5" s="5"/>
      <c r="B5" s="6"/>
      <c r="C5" s="7"/>
      <c r="D5" s="8"/>
      <c r="E5" s="14" t="s">
        <v>7</v>
      </c>
      <c r="F5" s="8"/>
      <c r="G5" s="11"/>
      <c r="H5" s="15">
        <v>2019</v>
      </c>
    </row>
    <row r="6" spans="1:8">
      <c r="A6" s="16"/>
      <c r="B6" s="6"/>
      <c r="C6" s="11"/>
      <c r="D6" s="17"/>
      <c r="E6" s="17"/>
      <c r="F6" s="17"/>
      <c r="G6" s="6"/>
      <c r="H6" s="18" t="s">
        <v>8</v>
      </c>
    </row>
    <row r="7" spans="1:8">
      <c r="A7" s="19" t="s">
        <v>9</v>
      </c>
      <c r="B7" s="6"/>
      <c r="C7" s="11"/>
      <c r="D7" s="17"/>
      <c r="E7" s="17"/>
      <c r="F7" s="17"/>
      <c r="G7" s="6"/>
      <c r="H7" s="20" t="s">
        <v>141</v>
      </c>
    </row>
    <row r="8" spans="1:8">
      <c r="A8" s="21" t="s">
        <v>10</v>
      </c>
      <c r="B8" s="6"/>
      <c r="C8" s="11"/>
      <c r="D8" s="17"/>
      <c r="E8" s="11"/>
      <c r="F8" s="17"/>
      <c r="G8" s="6"/>
      <c r="H8" s="9" t="s">
        <v>127</v>
      </c>
    </row>
    <row r="9" spans="1:8">
      <c r="A9" s="22"/>
      <c r="B9" s="6"/>
      <c r="C9" s="11"/>
      <c r="D9" s="17"/>
      <c r="E9" s="11"/>
      <c r="F9" s="17"/>
      <c r="G9" s="6"/>
      <c r="H9" s="9" t="s">
        <v>11</v>
      </c>
    </row>
    <row r="10" spans="1:8">
      <c r="A10" s="23"/>
      <c r="B10" s="6"/>
      <c r="C10" s="11"/>
      <c r="D10" s="24"/>
      <c r="E10" s="11"/>
      <c r="F10" s="24"/>
      <c r="G10" s="24"/>
      <c r="H10" s="25" t="s">
        <v>12</v>
      </c>
    </row>
    <row r="11" spans="1:8">
      <c r="A11" s="26"/>
      <c r="B11" s="27"/>
      <c r="C11" s="28" t="s">
        <v>13</v>
      </c>
      <c r="D11" s="29"/>
      <c r="E11" s="29"/>
      <c r="F11" s="144" t="s">
        <v>14</v>
      </c>
      <c r="G11" s="145"/>
      <c r="H11" s="30"/>
    </row>
    <row r="12" spans="1:8">
      <c r="A12" s="5"/>
      <c r="B12" s="17" t="s">
        <v>15</v>
      </c>
      <c r="C12" s="31" t="s">
        <v>16</v>
      </c>
      <c r="D12" s="31" t="s">
        <v>17</v>
      </c>
      <c r="E12" s="31" t="s">
        <v>18</v>
      </c>
      <c r="F12" s="31" t="s">
        <v>19</v>
      </c>
      <c r="G12" s="31" t="s">
        <v>20</v>
      </c>
      <c r="H12" s="31" t="s">
        <v>21</v>
      </c>
    </row>
    <row r="13" spans="1:8">
      <c r="A13" s="32"/>
      <c r="B13" s="2"/>
      <c r="C13" s="33" t="s">
        <v>22</v>
      </c>
      <c r="D13" s="34">
        <v>-1</v>
      </c>
      <c r="E13" s="34">
        <v>-2</v>
      </c>
      <c r="F13" s="34">
        <v>-3</v>
      </c>
      <c r="G13" s="34">
        <v>-4</v>
      </c>
      <c r="H13" s="34">
        <v>-5</v>
      </c>
    </row>
    <row r="14" spans="1:8">
      <c r="A14" s="23" t="s">
        <v>23</v>
      </c>
      <c r="B14" s="6" t="s">
        <v>24</v>
      </c>
      <c r="C14" s="122">
        <v>1</v>
      </c>
      <c r="D14" s="35">
        <f>'Jan20'!D14+'Feb20'!D14+'Mar20'!D14+'Apr20'!D14+'May20'!D14+June20!D14+'Jul20'!D14+'Aug20'!D14+'Sep20'!D14+'Oct20'!D14+'Nov20'!D14+'Dec20'!D14</f>
        <v>145353466</v>
      </c>
      <c r="E14" s="120">
        <f>'Jan20'!E14+'Feb20'!E14+'Mar20'!E14+'Apr20'!E14+'May20'!E14+June20!E14+'Jul20'!E14+'Aug20'!E14+'Sep20'!E14+'Oct20'!E14+'Nov20'!E14+'Dec20'!E14</f>
        <v>1098676987</v>
      </c>
      <c r="F14" s="120">
        <f>'Jan20'!F14+'Feb20'!F14+'Mar20'!F14+'Apr20'!F14+'May20'!F14+June20!F14+'Jul20'!F14+'Aug20'!F14+'Sep20'!F14+'Oct20'!F14+'Nov20'!F14+'Dec20'!F14</f>
        <v>477090146.15384614</v>
      </c>
      <c r="G14" s="120">
        <f>'Jan20'!G14+'Feb20'!G14+'Mar20'!G14+'Apr20'!G14+'May20'!G14+June20!G14+'Jul20'!G14+'Aug20'!G14+'Sep20'!G14+'Oct20'!G14+'Nov20'!G14+'Dec20'!G14</f>
        <v>9483434.7826086953</v>
      </c>
      <c r="H14" s="123">
        <f>'Jan20'!H14+'Feb20'!H14+'Mar20'!H14+'Apr20'!H14+'May20'!H14+June20!H14+'Jul20'!H14+'Aug20'!H14+'Sep20'!H14+'Oct20'!H14+'Nov20'!H14+'Dec20'!H14</f>
        <v>1730604033.9364548</v>
      </c>
    </row>
    <row r="15" spans="1:8" outlineLevel="1">
      <c r="A15" s="23"/>
      <c r="B15" s="38" t="s">
        <v>25</v>
      </c>
      <c r="C15" s="140"/>
      <c r="D15" s="35">
        <f>'Jan20'!D15+'Feb20'!D15+'Mar20'!D15+'Apr20'!D15+'May20'!D15+June20!D15+'Jul20'!D15+'Aug20'!D15+'Sep20'!D15+'Oct20'!D15+'Nov20'!D15+'Dec20'!D15</f>
        <v>138610481</v>
      </c>
      <c r="E15" s="36">
        <f>'Jan20'!E15+'Feb20'!E15+'Mar20'!E15+'Apr20'!E15+'May20'!E15+June20!E15+'Jul20'!E15+'Aug20'!E15+'Sep20'!E15+'Oct20'!E15+'Nov20'!E15+'Dec20'!E15</f>
        <v>1097479393</v>
      </c>
      <c r="F15" s="36">
        <f>'Jan20'!F15+'Feb20'!F15+'Mar20'!F15+'Apr20'!F15+'May20'!F15+June20!F15+'Jul20'!F15+'Aug20'!F15+'Sep20'!F15+'Oct20'!F15+'Nov20'!F15+'Dec20'!F15</f>
        <v>0</v>
      </c>
      <c r="G15" s="36">
        <f>'Jan20'!G15+'Feb20'!G15+'Mar20'!G15+'Apr20'!G15+'May20'!G15+June20!G15+'Jul20'!G15+'Aug20'!G15+'Sep20'!G15+'Oct20'!G15+'Nov20'!G15+'Dec20'!G15</f>
        <v>0</v>
      </c>
      <c r="H15" s="98">
        <f>'Jan20'!H15+'Feb20'!H15+'Mar20'!H15+'Apr20'!H15+'May20'!H15+June20!H15+'Jul20'!H15+'Aug20'!H15+'Sep20'!H15+'Oct20'!H15+'Nov20'!H15+'Dec20'!H15</f>
        <v>0</v>
      </c>
    </row>
    <row r="16" spans="1:8" outlineLevel="1">
      <c r="A16" s="23"/>
      <c r="B16" s="38" t="s">
        <v>132</v>
      </c>
      <c r="C16" s="140"/>
      <c r="D16" s="35">
        <f>'Jan20'!D16+'Feb20'!D16+'Mar20'!D16+'Apr20'!D16+'May20'!D16+June20!D16+'Jul20'!D16+'Aug20'!D16+'Sep20'!D16+'Oct20'!D16+'Nov20'!D16+'Dec20'!D16</f>
        <v>0</v>
      </c>
      <c r="E16" s="36">
        <f>'Jan20'!E16+'Feb20'!E16+'Mar20'!E16+'Apr20'!E16+'May20'!E16+June20!E16+'Jul20'!E16+'Aug20'!E16+'Sep20'!E16+'Oct20'!E16+'Nov20'!E16+'Dec20'!E16</f>
        <v>0</v>
      </c>
      <c r="F16" s="36">
        <f>'Jan20'!F16+'Feb20'!F16+'Mar20'!F16+'Apr20'!F16+'May20'!F16+June20!F16+'Jul20'!F16+'Aug20'!F16+'Sep20'!F16+'Oct20'!F16+'Nov20'!F16+'Dec20'!F16</f>
        <v>126473819</v>
      </c>
      <c r="G16" s="36">
        <f>'Jan20'!G16+'Feb20'!G16+'Mar20'!G16+'Apr20'!G16+'May20'!G16+June20!G16+'Jul20'!G16+'Aug20'!G16+'Sep20'!G16+'Oct20'!G16+'Nov20'!G16+'Dec20'!G16</f>
        <v>2181190</v>
      </c>
      <c r="H16" s="98">
        <f>'Jan20'!H16+'Feb20'!H16+'Mar20'!H16+'Apr20'!H16+'May20'!H16+June20!H16+'Jul20'!H16+'Aug20'!H16+'Sep20'!H16+'Oct20'!H16+'Nov20'!H16+'Dec20'!H16</f>
        <v>0</v>
      </c>
    </row>
    <row r="17" spans="1:8" outlineLevel="1">
      <c r="A17" s="23"/>
      <c r="B17" s="38" t="s">
        <v>133</v>
      </c>
      <c r="C17" s="140"/>
      <c r="D17" s="35">
        <f>'Jan20'!D17+'Feb20'!D17+'Mar20'!D17+'Apr20'!D17+'May20'!D17+June20!D17+'Jul20'!D17+'Aug20'!D17+'Sep20'!D17+'Oct20'!D17+'Nov20'!D17+'Dec20'!D17</f>
        <v>0</v>
      </c>
      <c r="E17" s="36">
        <f>'Jan20'!E17+'Feb20'!E17+'Mar20'!E17+'Apr20'!E17+'May20'!E17+June20!E17+'Jul20'!E17+'Aug20'!E17+'Sep20'!E17+'Oct20'!E17+'Nov20'!E17+'Dec20'!E17</f>
        <v>0</v>
      </c>
      <c r="F17" s="36">
        <f>'Jan20'!F17+'Feb20'!F17+'Mar20'!F17+'Apr20'!F17+'May20'!F17+June20!F17+'Jul20'!F17+'Aug20'!F17+'Sep20'!F17+'Oct20'!F17+'Nov20'!F17+'Dec20'!F17</f>
        <v>2430381</v>
      </c>
      <c r="G17" s="36">
        <f>'Jan20'!G17+'Feb20'!G17+'Mar20'!G17+'Apr20'!G17+'May20'!G17+June20!G17+'Jul20'!G17+'Aug20'!G17+'Sep20'!G17+'Oct20'!G17+'Nov20'!G17+'Dec20'!G17</f>
        <v>0</v>
      </c>
      <c r="H17" s="98">
        <f>'Jan20'!H17+'Feb20'!H17+'Mar20'!H17+'Apr20'!H17+'May20'!H17+June20!H17+'Jul20'!H17+'Aug20'!H17+'Sep20'!H17+'Oct20'!H17+'Nov20'!H17+'Dec20'!H17</f>
        <v>0</v>
      </c>
    </row>
    <row r="18" spans="1:8">
      <c r="A18" s="42" t="s">
        <v>28</v>
      </c>
      <c r="B18" s="6" t="s">
        <v>29</v>
      </c>
      <c r="C18" s="39">
        <v>2</v>
      </c>
      <c r="D18" s="35">
        <f>'Jan20'!D18+'Feb20'!D18+'Mar20'!D18+'Apr20'!D18+'May20'!D18+June20!D18+'Jul20'!D18+'Aug20'!D18+'Sep20'!D18+'Oct20'!D18+'Nov20'!D18+'Dec20'!D18</f>
        <v>0</v>
      </c>
      <c r="E18" s="44">
        <f>'Jan20'!E18+'Feb20'!E18+'Mar20'!E18+'Apr20'!E18+'May20'!E18+June20!E18+'Jul20'!E18+'Aug20'!E18+'Sep20'!E18+'Oct20'!E18+'Nov20'!E18+'Dec20'!E18</f>
        <v>0</v>
      </c>
      <c r="F18" s="44">
        <f>'Jan20'!F18+'Feb20'!F18+'Mar20'!F18+'Apr20'!F18+'May20'!F18+June20!F18+'Jul20'!F18+'Aug20'!F18+'Sep20'!F18+'Oct20'!F18+'Nov20'!F18+'Dec20'!F18</f>
        <v>32245353.846153844</v>
      </c>
      <c r="G18" s="44">
        <f>'Jan20'!G18+'Feb20'!G18+'Mar20'!G18+'Apr20'!G18+'May20'!G18+June20!G18+'Jul20'!G18+'Aug20'!G18+'Sep20'!G18+'Oct20'!G18+'Nov20'!G18+'Dec20'!G18</f>
        <v>0</v>
      </c>
      <c r="H18" s="98">
        <f>'Jan20'!H18+'Feb20'!H18+'Mar20'!H18+'Apr20'!H18+'May20'!H18+June20!H18+'Jul20'!H18+'Aug20'!H18+'Sep20'!H18+'Oct20'!H18+'Nov20'!H18+'Dec20'!H18</f>
        <v>0</v>
      </c>
    </row>
    <row r="19" spans="1:8">
      <c r="A19" s="5" t="s">
        <v>30</v>
      </c>
      <c r="B19" s="107" t="s">
        <v>31</v>
      </c>
      <c r="C19" s="124">
        <v>21</v>
      </c>
      <c r="D19" s="125">
        <f>'Jan20'!D19+'Feb20'!D19+'Mar20'!D19+'Apr20'!D19+'May20'!D19+June20!D19+'Jul20'!D19+'Aug20'!D19+'Sep20'!D19+'Oct20'!D19+'Nov20'!D19+'Dec20'!D19</f>
        <v>3285062</v>
      </c>
      <c r="E19" s="120">
        <f>'Jan20'!E19+'Feb20'!E19+'Mar20'!E19+'Apr20'!E19+'May20'!E19+June20!E19+'Jul20'!E19+'Aug20'!E19+'Sep20'!E19+'Oct20'!E19+'Nov20'!E19+'Dec20'!E19</f>
        <v>25388268</v>
      </c>
      <c r="F19" s="120">
        <f>'Jan20'!F19+'Feb20'!F19+'Mar20'!F19+'Apr20'!F19+'May20'!F19+June20!F19+'Jul20'!F19+'Aug20'!F19+'Sep20'!F19+'Oct20'!F19+'Nov20'!F19+'Dec20'!F19</f>
        <v>0</v>
      </c>
      <c r="G19" s="120">
        <f>'Jan20'!G19+'Feb20'!G19+'Mar20'!G19+'Apr20'!G19+'May20'!G19+June20!G19+'Jul20'!G19+'Aug20'!G19+'Sep20'!G19+'Oct20'!G19+'Nov20'!G19+'Dec20'!G19</f>
        <v>0</v>
      </c>
      <c r="H19" s="123">
        <f>'Jan20'!H19+'Feb20'!H19+'Mar20'!H19+'Apr20'!H19+'May20'!H19+June20!H19+'Jul20'!H19+'Aug20'!H19+'Sep20'!H19+'Oct20'!H19+'Nov20'!H19+'Dec20'!H19</f>
        <v>28673330</v>
      </c>
    </row>
    <row r="20" spans="1:8">
      <c r="A20" s="5" t="s">
        <v>32</v>
      </c>
      <c r="B20" s="126" t="s">
        <v>33</v>
      </c>
      <c r="C20" s="31">
        <v>22</v>
      </c>
      <c r="D20" s="127">
        <f>'Jan20'!D20+'Feb20'!D20+'Mar20'!D20+'Apr20'!D20+'May20'!D20+June20!D20+'Jul20'!D20+'Aug20'!D20+'Sep20'!D20+'Oct20'!D20+'Nov20'!D20+'Dec20'!D20</f>
        <v>0</v>
      </c>
      <c r="E20" s="36">
        <f>'Jan20'!E20+'Feb20'!E20+'Mar20'!E20+'Apr20'!E20+'May20'!E20+June20!E20+'Jul20'!E20+'Aug20'!E20+'Sep20'!E20+'Oct20'!E20+'Nov20'!E20+'Dec20'!E20</f>
        <v>2633</v>
      </c>
      <c r="F20" s="36">
        <f>'Jan20'!F20+'Feb20'!F20+'Mar20'!F20+'Apr20'!F20+'May20'!F20+June20!F20+'Jul20'!F20+'Aug20'!F20+'Sep20'!F20+'Oct20'!F20+'Nov20'!F20+'Dec20'!F20</f>
        <v>0</v>
      </c>
      <c r="G20" s="36">
        <f>'Jan20'!G20+'Feb20'!G20+'Mar20'!G20+'Apr20'!G20+'May20'!G20+June20!G20+'Jul20'!G20+'Aug20'!G20+'Sep20'!G20+'Oct20'!G20+'Nov20'!G20+'Dec20'!G20</f>
        <v>0</v>
      </c>
      <c r="H20" s="98">
        <f>'Jan20'!H20+'Feb20'!H20+'Mar20'!H20+'Apr20'!H20+'May20'!H20+June20!H20+'Jul20'!H20+'Aug20'!H20+'Sep20'!H20+'Oct20'!H20+'Nov20'!H20+'Dec20'!H20</f>
        <v>2633</v>
      </c>
    </row>
    <row r="21" spans="1:8">
      <c r="A21" s="5" t="s">
        <v>34</v>
      </c>
      <c r="B21" s="126" t="s">
        <v>35</v>
      </c>
      <c r="C21" s="31">
        <v>23</v>
      </c>
      <c r="D21" s="127">
        <f>'Jan20'!D21+'Feb20'!D21+'Mar20'!D21+'Apr20'!D21+'May20'!D21+June20!D21+'Jul20'!D21+'Aug20'!D21+'Sep20'!D21+'Oct20'!D21+'Nov20'!D21+'Dec20'!D21</f>
        <v>655397</v>
      </c>
      <c r="E21" s="36">
        <f>'Jan20'!E21+'Feb20'!E21+'Mar20'!E21+'Apr20'!E21+'May20'!E21+June20!E21+'Jul20'!E21+'Aug20'!E21+'Sep20'!E21+'Oct20'!E21+'Nov20'!E21+'Dec20'!E21</f>
        <v>1197594</v>
      </c>
      <c r="F21" s="36">
        <f>'Jan20'!F21+'Feb20'!F21+'Mar20'!F21+'Apr20'!F21+'May20'!F21+June20!F21+'Jul20'!F21+'Aug20'!F21+'Sep20'!F21+'Oct20'!F21+'Nov20'!F21+'Dec20'!F21</f>
        <v>0</v>
      </c>
      <c r="G21" s="36">
        <f>'Jan20'!G21+'Feb20'!G21+'Mar20'!G21+'Apr20'!G21+'May20'!G21+June20!G21+'Jul20'!G21+'Aug20'!G21+'Sep20'!G21+'Oct20'!G21+'Nov20'!G21+'Dec20'!G21</f>
        <v>0</v>
      </c>
      <c r="H21" s="98">
        <f>'Jan20'!H21+'Feb20'!H21+'Mar20'!H21+'Apr20'!H21+'May20'!H21+June20!H21+'Jul20'!H21+'Aug20'!H21+'Sep20'!H21+'Oct20'!H21+'Nov20'!H21+'Dec20'!H21</f>
        <v>1852991</v>
      </c>
    </row>
    <row r="22" spans="1:8">
      <c r="A22" s="5"/>
      <c r="B22" s="126" t="s">
        <v>36</v>
      </c>
      <c r="C22" s="31">
        <v>24</v>
      </c>
      <c r="D22" s="127">
        <f>'Jan20'!D22+'Feb20'!D22+'Mar20'!D22+'Apr20'!D22+'May20'!D22+June20!D22+'Jul20'!D22+'Aug20'!D22+'Sep20'!D22+'Oct20'!D22+'Nov20'!D22+'Dec20'!D22</f>
        <v>6087588</v>
      </c>
      <c r="E22" s="36">
        <f>'Jan20'!E22+'Feb20'!E22+'Mar20'!E22+'Apr20'!E22+'May20'!E22+June20!E22+'Jul20'!E22+'Aug20'!E22+'Sep20'!E22+'Oct20'!E22+'Nov20'!E22+'Dec20'!E22</f>
        <v>0</v>
      </c>
      <c r="F22" s="36">
        <f>'Jan20'!F22+'Feb20'!F22+'Mar20'!F22+'Apr20'!F22+'May20'!F22+June20!F22+'Jul20'!F22+'Aug20'!F22+'Sep20'!F22+'Oct20'!F22+'Nov20'!F22+'Dec20'!F22</f>
        <v>0</v>
      </c>
      <c r="G22" s="36">
        <f>'Jan20'!G22+'Feb20'!G22+'Mar20'!G22+'Apr20'!G22+'May20'!G22+June20!G22+'Jul20'!G22+'Aug20'!G22+'Sep20'!G22+'Oct20'!G22+'Nov20'!G22+'Dec20'!G22</f>
        <v>0</v>
      </c>
      <c r="H22" s="98">
        <f>'Jan20'!H22+'Feb20'!H22+'Mar20'!H22+'Apr20'!H22+'May20'!H22+June20!H22+'Jul20'!H22+'Aug20'!H22+'Sep20'!H22+'Oct20'!H22+'Nov20'!H22+'Dec20'!H22</f>
        <v>6087588</v>
      </c>
    </row>
    <row r="23" spans="1:8">
      <c r="A23" s="5"/>
      <c r="B23" s="128" t="s">
        <v>37</v>
      </c>
      <c r="C23" s="31">
        <v>25</v>
      </c>
      <c r="D23" s="127">
        <f>'Jan20'!D23+'Feb20'!D23+'Mar20'!D23+'Apr20'!D23+'May20'!D23+June20!D23+'Jul20'!D23+'Aug20'!D23+'Sep20'!D23+'Oct20'!D23+'Nov20'!D23+'Dec20'!D23</f>
        <v>0</v>
      </c>
      <c r="E23" s="36">
        <f>'Jan20'!E23+'Feb20'!E23+'Mar20'!E23+'Apr20'!E23+'May20'!E23+June20!E23+'Jul20'!E23+'Aug20'!E23+'Sep20'!E23+'Oct20'!E23+'Nov20'!E23+'Dec20'!E23</f>
        <v>0</v>
      </c>
      <c r="F23" s="36">
        <f>'Jan20'!F23+'Feb20'!F23+'Mar20'!F23+'Apr20'!F23+'May20'!F23+June20!F23+'Jul20'!F23+'Aug20'!F23+'Sep20'!F23+'Oct20'!F23+'Nov20'!F23+'Dec20'!F23</f>
        <v>0</v>
      </c>
      <c r="G23" s="36">
        <f>'Jan20'!G23+'Feb20'!G23+'Mar20'!G23+'Apr20'!G23+'May20'!G23+June20!G23+'Jul20'!G23+'Aug20'!G23+'Sep20'!G23+'Oct20'!G23+'Nov20'!G23+'Dec20'!G23</f>
        <v>0</v>
      </c>
      <c r="H23" s="98">
        <f>'Jan20'!H23+'Feb20'!H23+'Mar20'!H23+'Apr20'!H23+'May20'!H23+June20!H23+'Jul20'!H23+'Aug20'!H23+'Sep20'!H23+'Oct20'!H23+'Nov20'!H23+'Dec20'!H23</f>
        <v>0</v>
      </c>
    </row>
    <row r="24" spans="1:8">
      <c r="A24" s="5"/>
      <c r="B24" s="128" t="s">
        <v>38</v>
      </c>
      <c r="C24" s="31">
        <v>26</v>
      </c>
      <c r="D24" s="127">
        <f>'Jan20'!D24+'Feb20'!D24+'Mar20'!D24+'Apr20'!D24+'May20'!D24+June20!D24+'Jul20'!D24+'Aug20'!D24+'Sep20'!D24+'Oct20'!D24+'Nov20'!D24+'Dec20'!D24</f>
        <v>-129225</v>
      </c>
      <c r="E24" s="36">
        <f>'Jan20'!E24+'Feb20'!E24+'Mar20'!E24+'Apr20'!E24+'May20'!E24+June20!E24+'Jul20'!E24+'Aug20'!E24+'Sep20'!E24+'Oct20'!E24+'Nov20'!E24+'Dec20'!E24</f>
        <v>0</v>
      </c>
      <c r="F24" s="36">
        <f>'Jan20'!F24+'Feb20'!F24+'Mar20'!F24+'Apr20'!F24+'May20'!F24+June20!F24+'Jul20'!F24+'Aug20'!F24+'Sep20'!F24+'Oct20'!F24+'Nov20'!F24+'Dec20'!F24</f>
        <v>0</v>
      </c>
      <c r="G24" s="36">
        <f>'Jan20'!G24+'Feb20'!G24+'Mar20'!G24+'Apr20'!G24+'May20'!G24+June20!G24+'Jul20'!G24+'Aug20'!G24+'Sep20'!G24+'Oct20'!G24+'Nov20'!G24+'Dec20'!G24</f>
        <v>0</v>
      </c>
      <c r="H24" s="98">
        <f>'Jan20'!H24+'Feb20'!H24+'Mar20'!H24+'Apr20'!H24+'May20'!H24+June20!H24+'Jul20'!H24+'Aug20'!H24+'Sep20'!H24+'Oct20'!H24+'Nov20'!H24+'Dec20'!H24</f>
        <v>-129225</v>
      </c>
    </row>
    <row r="25" spans="1:8">
      <c r="A25" s="5"/>
      <c r="B25" s="128" t="s">
        <v>39</v>
      </c>
      <c r="C25" s="31">
        <v>27</v>
      </c>
      <c r="D25" s="127"/>
      <c r="E25" s="36"/>
      <c r="F25" s="36"/>
      <c r="G25" s="36"/>
      <c r="H25" s="98"/>
    </row>
    <row r="26" spans="1:8">
      <c r="A26" s="5"/>
      <c r="B26" s="128" t="s">
        <v>40</v>
      </c>
      <c r="C26" s="31">
        <v>28</v>
      </c>
      <c r="D26" s="127"/>
      <c r="E26" s="36"/>
      <c r="F26" s="36"/>
      <c r="G26" s="36"/>
      <c r="H26" s="98"/>
    </row>
    <row r="27" spans="1:8">
      <c r="A27" s="5"/>
      <c r="B27" s="5" t="s">
        <v>41</v>
      </c>
      <c r="C27" s="33">
        <v>29</v>
      </c>
      <c r="D27" s="127"/>
      <c r="E27" s="36"/>
      <c r="F27" s="36"/>
      <c r="G27" s="36"/>
      <c r="H27" s="98"/>
    </row>
    <row r="28" spans="1:8">
      <c r="A28" s="5"/>
      <c r="B28" s="45" t="s">
        <v>42</v>
      </c>
      <c r="C28" s="31">
        <v>30</v>
      </c>
      <c r="D28" s="129">
        <f>'Jan20'!D28+'Feb20'!D28+'Mar20'!D28+'Apr20'!D28+'May20'!D28+June20!D28+'Jul20'!D28+'Aug20'!D28+'Sep20'!D28+'Oct20'!D28+'Nov20'!D28+'Dec20'!D28</f>
        <v>10157272</v>
      </c>
      <c r="E28" s="130">
        <f>'Jan20'!E28+'Feb20'!E28+'Mar20'!E28+'Apr20'!E28+'May20'!E28+June20!E28+'Jul20'!E28+'Aug20'!E28+'Sep20'!E28+'Oct20'!E28+'Nov20'!E28+'Dec20'!E28</f>
        <v>26588495</v>
      </c>
      <c r="F28" s="130">
        <f>'Jan20'!F28+'Feb20'!F28+'Mar20'!F28+'Apr20'!F28+'May20'!F28+June20!F28+'Jul20'!F28+'Aug20'!F28+'Sep20'!F28+'Oct20'!F28+'Nov20'!F28+'Dec20'!F28</f>
        <v>0</v>
      </c>
      <c r="G28" s="130">
        <f>'Jan20'!G28+'Feb20'!G28+'Mar20'!G28+'Apr20'!G28+'May20'!G28+June20!G28+'Jul20'!G28+'Aug20'!G28+'Sep20'!G28+'Oct20'!G28+'Nov20'!G28+'Dec20'!G28</f>
        <v>0</v>
      </c>
      <c r="H28" s="131">
        <f>'Jan20'!H28+'Feb20'!H28+'Mar20'!H28+'Apr20'!H28+'May20'!H28+June20!H28+'Jul20'!H28+'Aug20'!H28+'Sep20'!H28+'Oct20'!H28+'Nov20'!H28+'Dec20'!H28</f>
        <v>36745767</v>
      </c>
    </row>
    <row r="29" spans="1:8">
      <c r="A29" s="61" t="s">
        <v>43</v>
      </c>
      <c r="B29" s="62"/>
      <c r="C29" s="48">
        <v>40</v>
      </c>
      <c r="D29" s="132">
        <f>'Jan20'!D29+'Feb20'!D29+'Mar20'!D29+'Apr20'!D29+'May20'!D29+June20!D29+'Jul20'!D29+'Aug20'!D29+'Sep20'!D29+'Oct20'!D29+'Nov20'!D29+'Dec20'!D29</f>
        <v>135196194</v>
      </c>
      <c r="E29" s="44">
        <f>'Jan20'!E29+'Feb20'!E29+'Mar20'!E29+'Apr20'!E29+'May20'!E29+June20!E29+'Jul20'!E29+'Aug20'!E29+'Sep20'!E29+'Oct20'!E29+'Nov20'!E29+'Dec20'!E29</f>
        <v>1072088492</v>
      </c>
      <c r="F29" s="44">
        <f>'Jan20'!F29+'Feb20'!F29+'Mar20'!F29+'Apr20'!F29+'May20'!F29+June20!F29+'Jul20'!F29+'Aug20'!F29+'Sep20'!F29+'Oct20'!F29+'Nov20'!F29+'Dec20'!F29</f>
        <v>509335500.00000006</v>
      </c>
      <c r="G29" s="44">
        <f>'Jan20'!G29+'Feb20'!G29+'Mar20'!G29+'Apr20'!G29+'May20'!G29+June20!G29+'Jul20'!G29+'Aug20'!G29+'Sep20'!G29+'Oct20'!G29+'Nov20'!G29+'Dec20'!G29</f>
        <v>9483434.7826086953</v>
      </c>
      <c r="H29" s="133">
        <f>'Jan20'!H29+'Feb20'!H29+'Mar20'!H29+'Apr20'!H29+'May20'!H29+June20!H29+'Jul20'!H29+'Aug20'!H29+'Sep20'!H29+'Oct20'!H29+'Nov20'!H29+'Dec20'!H29</f>
        <v>1693858266.9364548</v>
      </c>
    </row>
    <row r="30" spans="1:8">
      <c r="A30" s="23" t="s">
        <v>44</v>
      </c>
      <c r="B30" s="107" t="s">
        <v>45</v>
      </c>
      <c r="C30" s="31">
        <v>51</v>
      </c>
      <c r="D30" s="35">
        <f>'Jan20'!D30+'Feb20'!D30+'Mar20'!D30+'Apr20'!D30+'May20'!D30+June20!D30+'Jul20'!D30+'Aug20'!D30+'Sep20'!D30+'Oct20'!D30+'Nov20'!D30+'Dec20'!D30</f>
        <v>171940</v>
      </c>
      <c r="E30" s="36">
        <f>'Jan20'!E30+'Feb20'!E30+'Mar20'!E30+'Apr20'!E30+'May20'!E30+June20!E30+'Jul20'!E30+'Aug20'!E30+'Sep20'!E30+'Oct20'!E30+'Nov20'!E30+'Dec20'!E30</f>
        <v>94760</v>
      </c>
      <c r="F30" s="36">
        <f>'Jan20'!F30+'Feb20'!F30+'Mar20'!F30+'Apr20'!F30+'May20'!F30+June20!F30+'Jul20'!F30+'Aug20'!F30+'Sep20'!F30+'Oct20'!F30+'Nov20'!F30+'Dec20'!F30</f>
        <v>0</v>
      </c>
      <c r="G30" s="36">
        <f>'Jan20'!G30+'Feb20'!G30+'Mar20'!G30+'Apr20'!G30+'May20'!G30+June20!G30+'Jul20'!G30+'Aug20'!G30+'Sep20'!G30+'Oct20'!G30+'Nov20'!G30+'Dec20'!G30</f>
        <v>0</v>
      </c>
      <c r="H30" s="98">
        <f>'Jan20'!H30+'Feb20'!H30+'Mar20'!H30+'Apr20'!H30+'May20'!H30+June20!H30+'Jul20'!H30+'Aug20'!H30+'Sep20'!H30+'Oct20'!H30+'Nov20'!H30+'Dec20'!H30</f>
        <v>266700</v>
      </c>
    </row>
    <row r="31" spans="1:8">
      <c r="A31" s="66" t="s">
        <v>46</v>
      </c>
      <c r="B31" s="126" t="s">
        <v>47</v>
      </c>
      <c r="C31" s="31">
        <v>52</v>
      </c>
      <c r="D31" s="35">
        <f>'Jan20'!D31+'Feb20'!D31+'Mar20'!D31+'Apr20'!D31+'May20'!D31+June20!D31+'Jul20'!D31+'Aug20'!D31+'Sep20'!D31+'Oct20'!D31+'Nov20'!D31+'Dec20'!D31</f>
        <v>0</v>
      </c>
      <c r="E31" s="36">
        <f>'Jan20'!E31+'Feb20'!E31+'Mar20'!E31+'Apr20'!E31+'May20'!E31+June20!E31+'Jul20'!E31+'Aug20'!E31+'Sep20'!E31+'Oct20'!E31+'Nov20'!E31+'Dec20'!E31</f>
        <v>0</v>
      </c>
      <c r="F31" s="36">
        <f>'Jan20'!F31+'Feb20'!F31+'Mar20'!F31+'Apr20'!F31+'May20'!F31+June20!F31+'Jul20'!F31+'Aug20'!F31+'Sep20'!F31+'Oct20'!F31+'Nov20'!F31+'Dec20'!F31</f>
        <v>0</v>
      </c>
      <c r="G31" s="36">
        <f>'Jan20'!G31+'Feb20'!G31+'Mar20'!G31+'Apr20'!G31+'May20'!G31+June20!G31+'Jul20'!G31+'Aug20'!G31+'Sep20'!G31+'Oct20'!G31+'Nov20'!G31+'Dec20'!G31</f>
        <v>0</v>
      </c>
      <c r="H31" s="98">
        <f>'Jan20'!H31+'Feb20'!H31+'Mar20'!H31+'Apr20'!H31+'May20'!H31+June20!H31+'Jul20'!H31+'Aug20'!H31+'Sep20'!H31+'Oct20'!H31+'Nov20'!H31+'Dec20'!H31</f>
        <v>0</v>
      </c>
    </row>
    <row r="32" spans="1:8">
      <c r="A32" s="5"/>
      <c r="B32" s="126" t="s">
        <v>48</v>
      </c>
      <c r="C32" s="31">
        <v>53</v>
      </c>
      <c r="D32" s="35">
        <f>'Jan20'!D32+'Feb20'!D32+'Mar20'!D32+'Apr20'!D32+'May20'!D32+June20!D32+'Jul20'!D32+'Aug20'!D32+'Sep20'!D32+'Oct20'!D32+'Nov20'!D32+'Dec20'!D32</f>
        <v>0</v>
      </c>
      <c r="E32" s="36">
        <f>'Jan20'!E32+'Feb20'!E32+'Mar20'!E32+'Apr20'!E32+'May20'!E32+June20!E32+'Jul20'!E32+'Aug20'!E32+'Sep20'!E32+'Oct20'!E32+'Nov20'!E32+'Dec20'!E32</f>
        <v>0</v>
      </c>
      <c r="F32" s="36">
        <f>'Jan20'!F32+'Feb20'!F32+'Mar20'!F32+'Apr20'!F32+'May20'!F32+June20!F32+'Jul20'!F32+'Aug20'!F32+'Sep20'!F32+'Oct20'!F32+'Nov20'!F32+'Dec20'!F32</f>
        <v>0</v>
      </c>
      <c r="G32" s="36">
        <f>'Jan20'!G32+'Feb20'!G32+'Mar20'!G32+'Apr20'!G32+'May20'!G32+June20!G32+'Jul20'!G32+'Aug20'!G32+'Sep20'!G32+'Oct20'!G32+'Nov20'!G32+'Dec20'!G32</f>
        <v>0</v>
      </c>
      <c r="H32" s="98">
        <f>'Jan20'!H32+'Feb20'!H32+'Mar20'!H32+'Apr20'!H32+'May20'!H32+June20!H32+'Jul20'!H32+'Aug20'!H32+'Sep20'!H32+'Oct20'!H32+'Nov20'!H32+'Dec20'!H32</f>
        <v>0</v>
      </c>
    </row>
    <row r="33" spans="1:8">
      <c r="A33" s="5"/>
      <c r="B33" s="126" t="s">
        <v>49</v>
      </c>
      <c r="C33" s="31">
        <v>54</v>
      </c>
      <c r="D33" s="35">
        <f>'Jan20'!D33+'Feb20'!D33+'Mar20'!D33+'Apr20'!D33+'May20'!D33+June20!D33+'Jul20'!D33+'Aug20'!D33+'Sep20'!D33+'Oct20'!D33+'Nov20'!D33+'Dec20'!D33</f>
        <v>0</v>
      </c>
      <c r="E33" s="36">
        <f>'Jan20'!E33+'Feb20'!E33+'Mar20'!E33+'Apr20'!E33+'May20'!E33+June20!E33+'Jul20'!E33+'Aug20'!E33+'Sep20'!E33+'Oct20'!E33+'Nov20'!E33+'Dec20'!E33</f>
        <v>0</v>
      </c>
      <c r="F33" s="36">
        <f>'Jan20'!F33+'Feb20'!F33+'Mar20'!F33+'Apr20'!F33+'May20'!F33+June20!F33+'Jul20'!F33+'Aug20'!F33+'Sep20'!F33+'Oct20'!F33+'Nov20'!F33+'Dec20'!F33</f>
        <v>0</v>
      </c>
      <c r="G33" s="36">
        <f>'Jan20'!G33+'Feb20'!G33+'Mar20'!G33+'Apr20'!G33+'May20'!G33+June20!G33+'Jul20'!G33+'Aug20'!G33+'Sep20'!G33+'Oct20'!G33+'Nov20'!G33+'Dec20'!G33</f>
        <v>0</v>
      </c>
      <c r="H33" s="98">
        <f>'Jan20'!H33+'Feb20'!H33+'Mar20'!H33+'Apr20'!H33+'May20'!H33+June20!H33+'Jul20'!H33+'Aug20'!H33+'Sep20'!H33+'Oct20'!H33+'Nov20'!H33+'Dec20'!H33</f>
        <v>0</v>
      </c>
    </row>
    <row r="34" spans="1:8">
      <c r="A34" s="5"/>
      <c r="B34" s="126" t="s">
        <v>50</v>
      </c>
      <c r="C34" s="31">
        <v>55</v>
      </c>
      <c r="D34" s="35">
        <f>'Jan20'!D34+'Feb20'!D34+'Mar20'!D34+'Apr20'!D34+'May20'!D34+June20!D34+'Jul20'!D34+'Aug20'!D34+'Sep20'!D34+'Oct20'!D34+'Nov20'!D34+'Dec20'!D34</f>
        <v>0</v>
      </c>
      <c r="E34" s="36">
        <f>'Jan20'!E34+'Feb20'!E34+'Mar20'!E34+'Apr20'!E34+'May20'!E34+June20!E34+'Jul20'!E34+'Aug20'!E34+'Sep20'!E34+'Oct20'!E34+'Nov20'!E34+'Dec20'!E34</f>
        <v>0</v>
      </c>
      <c r="F34" s="36">
        <f>'Jan20'!F34+'Feb20'!F34+'Mar20'!F34+'Apr20'!F34+'May20'!F34+June20!F34+'Jul20'!F34+'Aug20'!F34+'Sep20'!F34+'Oct20'!F34+'Nov20'!F34+'Dec20'!F34</f>
        <v>0</v>
      </c>
      <c r="G34" s="36">
        <f>'Jan20'!G34+'Feb20'!G34+'Mar20'!G34+'Apr20'!G34+'May20'!G34+June20!G34+'Jul20'!G34+'Aug20'!G34+'Sep20'!G34+'Oct20'!G34+'Nov20'!G34+'Dec20'!G34</f>
        <v>0</v>
      </c>
      <c r="H34" s="98">
        <f>'Jan20'!H34+'Feb20'!H34+'Mar20'!H34+'Apr20'!H34+'May20'!H34+June20!H34+'Jul20'!H34+'Aug20'!H34+'Sep20'!H34+'Oct20'!H34+'Nov20'!H34+'Dec20'!H34</f>
        <v>0</v>
      </c>
    </row>
    <row r="35" spans="1:8">
      <c r="A35" s="5"/>
      <c r="B35" s="126" t="s">
        <v>51</v>
      </c>
      <c r="C35" s="31">
        <v>56</v>
      </c>
      <c r="D35" s="35">
        <f>'Jan20'!D35+'Feb20'!D35+'Mar20'!D35+'Apr20'!D35+'May20'!D35+June20!D35+'Jul20'!D35+'Aug20'!D35+'Sep20'!D35+'Oct20'!D35+'Nov20'!D35+'Dec20'!D35</f>
        <v>0</v>
      </c>
      <c r="E35" s="36">
        <f>'Jan20'!E35+'Feb20'!E35+'Mar20'!E35+'Apr20'!E35+'May20'!E35+June20!E35+'Jul20'!E35+'Aug20'!E35+'Sep20'!E35+'Oct20'!E35+'Nov20'!E35+'Dec20'!E35</f>
        <v>0</v>
      </c>
      <c r="F35" s="36">
        <f>'Jan20'!F35+'Feb20'!F35+'Mar20'!F35+'Apr20'!F35+'May20'!F35+June20!F35+'Jul20'!F35+'Aug20'!F35+'Sep20'!F35+'Oct20'!F35+'Nov20'!F35+'Dec20'!F35</f>
        <v>0</v>
      </c>
      <c r="G35" s="36">
        <f>'Jan20'!G35+'Feb20'!G35+'Mar20'!G35+'Apr20'!G35+'May20'!G35+June20!G35+'Jul20'!G35+'Aug20'!G35+'Sep20'!G35+'Oct20'!G35+'Nov20'!G35+'Dec20'!G35</f>
        <v>0</v>
      </c>
      <c r="H35" s="98">
        <f>'Jan20'!H35+'Feb20'!H35+'Mar20'!H35+'Apr20'!H35+'May20'!H35+June20!H35+'Jul20'!H35+'Aug20'!H35+'Sep20'!H35+'Oct20'!H35+'Nov20'!H35+'Dec20'!H35</f>
        <v>0</v>
      </c>
    </row>
    <row r="36" spans="1:8">
      <c r="A36" s="5"/>
      <c r="B36" s="126" t="s">
        <v>52</v>
      </c>
      <c r="C36" s="31">
        <v>57</v>
      </c>
      <c r="D36" s="35">
        <f>'Jan20'!D36+'Feb20'!D36+'Mar20'!D36+'Apr20'!D36+'May20'!D36+June20!D36+'Jul20'!D36+'Aug20'!D36+'Sep20'!D36+'Oct20'!D36+'Nov20'!D36+'Dec20'!D36</f>
        <v>365506</v>
      </c>
      <c r="E36" s="36">
        <f>'Jan20'!E36+'Feb20'!E36+'Mar20'!E36+'Apr20'!E36+'May20'!E36+June20!E36+'Jul20'!E36+'Aug20'!E36+'Sep20'!E36+'Oct20'!E36+'Nov20'!E36+'Dec20'!E36</f>
        <v>83809</v>
      </c>
      <c r="F36" s="36">
        <f>'Jan20'!F36+'Feb20'!F36+'Mar20'!F36+'Apr20'!F36+'May20'!F36+June20!F36+'Jul20'!F36+'Aug20'!F36+'Sep20'!F36+'Oct20'!F36+'Nov20'!F36+'Dec20'!F36</f>
        <v>0</v>
      </c>
      <c r="G36" s="36">
        <f>'Jan20'!G36+'Feb20'!G36+'Mar20'!G36+'Apr20'!G36+'May20'!G36+June20!G36+'Jul20'!G36+'Aug20'!G36+'Sep20'!G36+'Oct20'!G36+'Nov20'!G36+'Dec20'!G36</f>
        <v>0</v>
      </c>
      <c r="H36" s="98">
        <f>'Jan20'!H36+'Feb20'!H36+'Mar20'!H36+'Apr20'!H36+'May20'!H36+June20!H36+'Jul20'!H36+'Aug20'!H36+'Sep20'!H36+'Oct20'!H36+'Nov20'!H36+'Dec20'!H36</f>
        <v>449315</v>
      </c>
    </row>
    <row r="37" spans="1:8">
      <c r="A37" s="5"/>
      <c r="B37" s="126" t="s">
        <v>40</v>
      </c>
      <c r="C37" s="31">
        <v>58</v>
      </c>
      <c r="D37" s="35"/>
      <c r="E37" s="36"/>
      <c r="F37" s="36"/>
      <c r="G37" s="36"/>
      <c r="H37" s="98"/>
    </row>
    <row r="38" spans="1:8">
      <c r="A38" s="5"/>
      <c r="B38" s="126" t="s">
        <v>41</v>
      </c>
      <c r="C38" s="31">
        <v>59</v>
      </c>
      <c r="D38" s="35"/>
      <c r="E38" s="36"/>
      <c r="F38" s="36"/>
      <c r="G38" s="36"/>
      <c r="H38" s="98"/>
    </row>
    <row r="39" spans="1:8">
      <c r="A39" s="5"/>
      <c r="B39" s="126" t="s">
        <v>53</v>
      </c>
      <c r="C39" s="31">
        <v>60</v>
      </c>
      <c r="D39" s="35"/>
      <c r="E39" s="36"/>
      <c r="F39" s="36"/>
      <c r="G39" s="36"/>
      <c r="H39" s="98"/>
    </row>
    <row r="40" spans="1:8">
      <c r="A40" s="5"/>
      <c r="B40" s="128" t="s">
        <v>54</v>
      </c>
      <c r="C40" s="31">
        <v>61</v>
      </c>
      <c r="D40" s="35"/>
      <c r="E40" s="36"/>
      <c r="F40" s="36"/>
      <c r="G40" s="36"/>
      <c r="H40" s="98"/>
    </row>
    <row r="41" spans="1:8">
      <c r="A41" s="5"/>
      <c r="B41" s="128" t="s">
        <v>55</v>
      </c>
      <c r="C41" s="31">
        <v>62</v>
      </c>
      <c r="D41" s="35"/>
      <c r="E41" s="36"/>
      <c r="F41" s="36"/>
      <c r="G41" s="36"/>
      <c r="H41" s="98"/>
    </row>
    <row r="42" spans="1:8">
      <c r="A42" s="5"/>
      <c r="B42" s="128" t="s">
        <v>56</v>
      </c>
      <c r="C42" s="31">
        <v>63</v>
      </c>
      <c r="D42" s="35"/>
      <c r="E42" s="36"/>
      <c r="F42" s="36"/>
      <c r="G42" s="36"/>
      <c r="H42" s="98"/>
    </row>
    <row r="43" spans="1:8">
      <c r="A43" s="5"/>
      <c r="B43" s="128" t="s">
        <v>57</v>
      </c>
      <c r="C43" s="31">
        <v>64</v>
      </c>
      <c r="D43" s="35"/>
      <c r="E43" s="36"/>
      <c r="F43" s="36"/>
      <c r="G43" s="36"/>
      <c r="H43" s="98"/>
    </row>
    <row r="44" spans="1:8">
      <c r="A44" s="5"/>
      <c r="B44" s="128" t="s">
        <v>58</v>
      </c>
      <c r="C44" s="31">
        <v>65</v>
      </c>
      <c r="D44" s="35"/>
      <c r="E44" s="36"/>
      <c r="F44" s="36"/>
      <c r="G44" s="36"/>
      <c r="H44" s="98"/>
    </row>
    <row r="45" spans="1:8">
      <c r="A45" s="5"/>
      <c r="B45" s="128" t="s">
        <v>59</v>
      </c>
      <c r="C45" s="31">
        <v>66</v>
      </c>
      <c r="D45" s="35"/>
      <c r="E45" s="36"/>
      <c r="F45" s="36"/>
      <c r="G45" s="36"/>
      <c r="H45" s="98"/>
    </row>
    <row r="46" spans="1:8">
      <c r="A46" s="5"/>
      <c r="B46" s="55" t="s">
        <v>60</v>
      </c>
      <c r="C46" s="33">
        <v>67</v>
      </c>
      <c r="D46" s="35"/>
      <c r="E46" s="36"/>
      <c r="F46" s="36"/>
      <c r="G46" s="36"/>
      <c r="H46" s="98"/>
    </row>
    <row r="47" spans="1:8">
      <c r="A47" s="55"/>
      <c r="B47" s="45" t="s">
        <v>124</v>
      </c>
      <c r="C47" s="48">
        <v>70</v>
      </c>
      <c r="D47" s="129">
        <f>'Jan20'!D47+'Feb20'!D47+'Mar20'!D47+'Apr20'!D47+'May20'!D47+June20!D47+'Jul20'!D47+'Aug20'!D47+'Sep20'!D47+'Oct20'!D47+'Nov20'!D47+'Dec20'!D47</f>
        <v>537446</v>
      </c>
      <c r="E47" s="130">
        <f>'Jan20'!E47+'Feb20'!E47+'Mar20'!E47+'Apr20'!E47+'May20'!E47+June20!E47+'Jul20'!E47+'Aug20'!E47+'Sep20'!E47+'Oct20'!E47+'Nov20'!E47+'Dec20'!E47</f>
        <v>178569</v>
      </c>
      <c r="F47" s="130">
        <f>'Jan20'!F47+'Feb20'!F47+'Mar20'!F47+'Apr20'!F47+'May20'!F47+June20!F47+'Jul20'!F47+'Aug20'!F47+'Sep20'!F47+'Oct20'!F47+'Nov20'!F47+'Dec20'!F47</f>
        <v>0</v>
      </c>
      <c r="G47" s="130">
        <f>'Jan20'!G47+'Feb20'!G47+'Mar20'!G47+'Apr20'!G47+'May20'!G47+June20!G47+'Jul20'!G47+'Aug20'!G47+'Sep20'!G47+'Oct20'!G47+'Nov20'!G47+'Dec20'!G47</f>
        <v>0</v>
      </c>
      <c r="H47" s="131">
        <f>'Jan20'!H47+'Feb20'!H47+'Mar20'!H47+'Apr20'!H47+'May20'!H47+June20!H47+'Jul20'!H47+'Aug20'!H47+'Sep20'!H47+'Oct20'!H47+'Nov20'!H47+'Dec20'!H47</f>
        <v>716015</v>
      </c>
    </row>
    <row r="48" spans="1:8">
      <c r="A48" s="5" t="s">
        <v>61</v>
      </c>
      <c r="B48" s="45" t="s">
        <v>62</v>
      </c>
      <c r="C48" s="48"/>
      <c r="D48" s="129">
        <f>'Jan20'!D48+'Feb20'!D48+'Mar20'!D48+'Apr20'!D48+'May20'!D48+June20!D48+'Jul20'!D48+'Aug20'!D48+'Sep20'!D48+'Oct20'!D48+'Nov20'!D48+'Dec20'!D48</f>
        <v>134658748</v>
      </c>
      <c r="E48" s="130">
        <f>'Jan20'!E48+'Feb20'!E48+'Mar20'!E48+'Apr20'!E48+'May20'!E48+June20!E48+'Jul20'!E48+'Aug20'!E48+'Sep20'!E48+'Oct20'!E48+'Nov20'!E48+'Dec20'!E48</f>
        <v>1071909923</v>
      </c>
      <c r="F48" s="130">
        <f>'Jan20'!F48+'Feb20'!F48+'Mar20'!F48+'Apr20'!F48+'May20'!F48+June20!F48+'Jul20'!F48+'Aug20'!F48+'Sep20'!F48+'Oct20'!F48+'Nov20'!F48+'Dec20'!F48</f>
        <v>509335500.00000006</v>
      </c>
      <c r="G48" s="130">
        <f>'Jan20'!G48+'Feb20'!G48+'Mar20'!G48+'Apr20'!G48+'May20'!G48+June20!G48+'Jul20'!G48+'Aug20'!G48+'Sep20'!G48+'Oct20'!G48+'Nov20'!G48+'Dec20'!G48</f>
        <v>9483434.7826086953</v>
      </c>
      <c r="H48" s="131">
        <f>'Jan20'!H48+'Feb20'!H48+'Mar20'!H48+'Apr20'!H48+'May20'!H48+June20!H48+'Jul20'!H48+'Aug20'!H48+'Sep20'!H48+'Oct20'!H48+'Nov20'!H48+'Dec20'!H48</f>
        <v>1725387605.7826085</v>
      </c>
    </row>
    <row r="49" spans="1:8">
      <c r="A49" s="66" t="s">
        <v>28</v>
      </c>
      <c r="B49" s="134"/>
      <c r="C49" s="135"/>
      <c r="D49" s="125"/>
      <c r="E49" s="120"/>
      <c r="F49" s="136"/>
      <c r="G49" s="120"/>
      <c r="H49" s="123"/>
    </row>
    <row r="50" spans="1:8">
      <c r="A50" s="66" t="s">
        <v>63</v>
      </c>
      <c r="B50" s="10" t="s">
        <v>142</v>
      </c>
      <c r="C50" s="137"/>
      <c r="D50" s="35"/>
      <c r="E50" s="36"/>
      <c r="F50" s="35">
        <f>F18</f>
        <v>32245353.846153844</v>
      </c>
      <c r="G50" s="36"/>
      <c r="H50" s="98"/>
    </row>
    <row r="51" spans="1:8">
      <c r="A51" s="72"/>
      <c r="B51" s="10" t="s">
        <v>143</v>
      </c>
      <c r="C51" s="137"/>
      <c r="D51" s="35"/>
      <c r="E51" s="36"/>
      <c r="F51" s="35">
        <v>0</v>
      </c>
      <c r="G51" s="36"/>
      <c r="H51" s="98"/>
    </row>
    <row r="52" spans="1:8">
      <c r="A52" s="72"/>
      <c r="B52" s="5" t="s">
        <v>144</v>
      </c>
      <c r="C52" s="137"/>
      <c r="D52" s="136"/>
      <c r="E52" s="120"/>
      <c r="F52" s="136">
        <f>F50-F51</f>
        <v>32245353.846153844</v>
      </c>
      <c r="G52" s="120"/>
      <c r="H52" s="123"/>
    </row>
  </sheetData>
  <mergeCells count="1">
    <mergeCell ref="F11:G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Jan20</vt:lpstr>
      <vt:lpstr>Feb20</vt:lpstr>
      <vt:lpstr>Mar20</vt:lpstr>
      <vt:lpstr>Apr20</vt:lpstr>
      <vt:lpstr>May20</vt:lpstr>
      <vt:lpstr>June20</vt:lpstr>
      <vt:lpstr>Jul20</vt:lpstr>
      <vt:lpstr>Aug20</vt:lpstr>
      <vt:lpstr>Sep20</vt:lpstr>
      <vt:lpstr>Oct20</vt:lpstr>
      <vt:lpstr>Nov20</vt:lpstr>
      <vt:lpstr>Dec20</vt:lpstr>
      <vt:lpstr>551m2020</vt:lpstr>
    </vt:vector>
  </TitlesOfParts>
  <Company>Kansas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 Wakana [KDOR]</dc:creator>
  <cp:lastModifiedBy>Adam J. Thew [KDOR]</cp:lastModifiedBy>
  <cp:lastPrinted>2021-02-18T17:01:21Z</cp:lastPrinted>
  <dcterms:created xsi:type="dcterms:W3CDTF">2017-03-16T18:17:32Z</dcterms:created>
  <dcterms:modified xsi:type="dcterms:W3CDTF">2026-09-18T20:17:45Z</dcterms:modified>
</cp:coreProperties>
</file>